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https://gppower-my.sharepoint.com/personal/faiz_ahmed_evergy_com/Documents/Desktop/Uploads/GFR Annual Update/"/>
    </mc:Choice>
  </mc:AlternateContent>
  <xr:revisionPtr revIDLastSave="0" documentId="8_{2FC4FB7B-CEEA-437D-827C-B72B47E5B66D}" xr6:coauthVersionLast="47" xr6:coauthVersionMax="47" xr10:uidLastSave="{00000000-0000-0000-0000-000000000000}"/>
  <bookViews>
    <workbookView xWindow="-108" yWindow="-108" windowWidth="23256" windowHeight="12576" tabRatio="830" firstSheet="15" activeTab="16" xr2:uid="{00000000-000D-0000-FFFF-FFFF00000000}"/>
  </bookViews>
  <sheets>
    <sheet name="Table of Contents" sheetId="56" r:id="rId1"/>
    <sheet name="Form 1 Inputs" sheetId="82" r:id="rId2"/>
    <sheet name="Form 1 Inputs (TransYear)" sheetId="83" r:id="rId3"/>
    <sheet name=" Net Monthly Bill" sheetId="57" r:id="rId4"/>
    <sheet name="Energy Charge 1" sheetId="60" r:id="rId5"/>
    <sheet name="Energy Charge 2" sheetId="59" r:id="rId6"/>
    <sheet name="Applicable Taxes" sheetId="61" r:id="rId7"/>
    <sheet name="Item 2,  Demand Chg. Calc." sheetId="23" r:id="rId8"/>
    <sheet name="Item 3, Rate Base" sheetId="12" r:id="rId9"/>
    <sheet name="Item 4, Demand Rel. Exp." sheetId="18" r:id="rId10"/>
    <sheet name="Item 5, VOM &amp; OSSM" sheetId="84" r:id="rId11"/>
    <sheet name="Item 6, Wghted Cost of Cap." sheetId="21" r:id="rId12"/>
    <sheet name="Wrksht. A, Other Rate Base EKC" sheetId="31" r:id="rId13"/>
    <sheet name="Wrksht. B, Other Rate Base EKS" sheetId="65" r:id="rId14"/>
    <sheet name="Wrksht. C, Allocation Ratios" sheetId="30" r:id="rId15"/>
    <sheet name="Wrksht. D, Rev Cre, Divsr &amp; Eng" sheetId="34" r:id="rId16"/>
    <sheet name="Wrksht. E, Rev. Req. Shortfall" sheetId="53" r:id="rId17"/>
    <sheet name="Wrksht. F, CWIP Desc. EKC" sheetId="35" r:id="rId18"/>
    <sheet name="Wrsht. G, CWIP AFUDC Cre. EKC " sheetId="37" r:id="rId19"/>
    <sheet name="Wrksht. H, CWIP Desc. EKS" sheetId="36" r:id="rId20"/>
    <sheet name="Wrksht. I, CWIP AFUDC Cre. EKS" sheetId="38" r:id="rId21"/>
    <sheet name="Wrksht J, Refunds &amp; Surchar" sheetId="85" r:id="rId22"/>
    <sheet name="Wrksht. K, Dep. &amp; Accu. Dep $" sheetId="86" r:id="rId23"/>
    <sheet name="Wrksht. L, Wolf Creek Decom." sheetId="55" r:id="rId24"/>
    <sheet name="Wrksht. M, VOM Revenue Credit" sheetId="54" r:id="rId25"/>
    <sheet name="Wrksht. N, Account 501" sheetId="40" r:id="rId26"/>
    <sheet name="Wrksht. O, Int. Plt. Amrt. EKC " sheetId="42" r:id="rId27"/>
    <sheet name="Wrksht. P, Int. Plt. Amrt. EKS" sheetId="41" r:id="rId28"/>
    <sheet name="Wrsht. Q, Domestic Mfg. Ded." sheetId="79" r:id="rId29"/>
    <sheet name="Wrksht. R, Allocated ITC" sheetId="44" r:id="rId30"/>
    <sheet name="Wrksht. S Depreciation Rate" sheetId="81" r:id="rId31"/>
    <sheet name="Wrksht. T, PBOPs " sheetId="46" r:id="rId32"/>
    <sheet name="Wrksht. U, LTD Cost 1" sheetId="50" r:id="rId33"/>
    <sheet name="Wrksht U, LTD Cost 2" sheetId="49" r:id="rId34"/>
    <sheet name="Wrksht. U, YTM Bonds 1" sheetId="47" r:id="rId35"/>
    <sheet name="Wrksht. U YTM Bond 2" sheetId="70" r:id="rId36"/>
    <sheet name="Wrksht. V, OSSM Amount" sheetId="69" r:id="rId37"/>
    <sheet name="Wrksht. W, Dir. Assigned Trans." sheetId="71" r:id="rId38"/>
  </sheets>
  <definedNames>
    <definedName name="_xlnm._FilterDatabase" localSheetId="17" hidden="1">'Wrksht. F, CWIP Desc. EKC'!$A$12:$G$219</definedName>
    <definedName name="_xlnm._FilterDatabase" localSheetId="19" hidden="1">'Wrksht. H, CWIP Desc. EKS'!$A$4:$G$232</definedName>
    <definedName name="AOAnalysisPrint">#REF!</definedName>
    <definedName name="_xlnm.Print_Area" localSheetId="3">' Net Monthly Bill'!$A$1:$B$22</definedName>
    <definedName name="_xlnm.Print_Area" localSheetId="6">'Applicable Taxes'!$A$1:$B$20</definedName>
    <definedName name="_xlnm.Print_Area" localSheetId="4">'Energy Charge 1'!$A$1:$D$17</definedName>
    <definedName name="_xlnm.Print_Area" localSheetId="5">'Energy Charge 2'!$A$1:$D$14</definedName>
    <definedName name="_xlnm.Print_Area" localSheetId="7">'Item 2,  Demand Chg. Calc.'!$A$1:$G$26</definedName>
    <definedName name="_xlnm.Print_Area" localSheetId="8">'Item 3, Rate Base'!$A$1:$G$74</definedName>
    <definedName name="_xlnm.Print_Area" localSheetId="9">'Item 4, Demand Rel. Exp.'!$A$1:$G$111</definedName>
    <definedName name="_xlnm.Print_Area" localSheetId="10">'Item 5, VOM &amp; OSSM'!$A$1:$G$32</definedName>
    <definedName name="_xlnm.Print_Area" localSheetId="11">'Item 6, Wghted Cost of Cap.'!$A$1:$H$45</definedName>
    <definedName name="_xlnm.Print_Area" localSheetId="0">'Table of Contents'!$A$1:$F$51</definedName>
    <definedName name="_xlnm.Print_Area" localSheetId="21">'Wrksht J, Refunds &amp; Surchar'!$A$1:$I$50</definedName>
    <definedName name="_xlnm.Print_Area" localSheetId="33">'Wrksht U, LTD Cost 2'!$A$1:$AB$55</definedName>
    <definedName name="_xlnm.Print_Area" localSheetId="12">'Wrksht. A, Other Rate Base EKC'!$A$1:$J$560</definedName>
    <definedName name="_xlnm.Print_Area" localSheetId="13">'Wrksht. B, Other Rate Base EKS'!$A$1:$J$687</definedName>
    <definedName name="_xlnm.Print_Area" localSheetId="14">'Wrksht. C, Allocation Ratios'!$A$1:$J$27</definedName>
    <definedName name="_xlnm.Print_Area" localSheetId="15">'Wrksht. D, Rev Cre, Divsr &amp; Eng'!$A$1:$G$77</definedName>
    <definedName name="_xlnm.Print_Area" localSheetId="16">'Wrksht. E, Rev. Req. Shortfall'!$A$1:$N$35</definedName>
    <definedName name="_xlnm.Print_Area" localSheetId="17">'Wrksht. F, CWIP Desc. EKC'!$A$1:$G$221</definedName>
    <definedName name="_xlnm.Print_Area" localSheetId="19">'Wrksht. H, CWIP Desc. EKS'!$A$1:$G$355</definedName>
    <definedName name="_xlnm.Print_Area" localSheetId="20">'Wrksht. I, CWIP AFUDC Cre. EKS'!$A$1:$I$350</definedName>
    <definedName name="_xlnm.Print_Area" localSheetId="22">'Wrksht. K, Dep. &amp; Accu. Dep $'!$A$1:$P$620</definedName>
    <definedName name="_xlnm.Print_Area" localSheetId="23">'Wrksht. L, Wolf Creek Decom.'!$A$1:$D$9</definedName>
    <definedName name="_xlnm.Print_Area" localSheetId="24">'Wrksht. M, VOM Revenue Credit'!$A$1:$F$60</definedName>
    <definedName name="_xlnm.Print_Area" localSheetId="26">'Wrksht. O, Int. Plt. Amrt. EKC '!$A$1:$H$481</definedName>
    <definedName name="_xlnm.Print_Area" localSheetId="27">'Wrksht. P, Int. Plt. Amrt. EKS'!$A$1:$H$204</definedName>
    <definedName name="_xlnm.Print_Area" localSheetId="29">'Wrksht. R, Allocated ITC'!$A$1:$H$15</definedName>
    <definedName name="_xlnm.Print_Area" localSheetId="30">'Wrksht. S Depreciation Rate'!$A$1:$BC$50</definedName>
    <definedName name="_xlnm.Print_Area" localSheetId="31">'Wrksht. T, PBOPs '!$A$1:$F$40</definedName>
    <definedName name="_xlnm.Print_Area" localSheetId="32">'Wrksht. U, LTD Cost 1'!$A$1:$U$52</definedName>
    <definedName name="_xlnm.Print_Area" localSheetId="34">'Wrksht. U, YTM Bonds 1'!$A$1:$R$78</definedName>
    <definedName name="_xlnm.Print_Area" localSheetId="36">'Wrksht. V, OSSM Amount'!$A$1:$G$52</definedName>
    <definedName name="_xlnm.Print_Area" localSheetId="37">'Wrksht. W, Dir. Assigned Trans.'!$A$1:$G$16</definedName>
    <definedName name="_xlnm.Print_Area" localSheetId="18">'Wrsht. G, CWIP AFUDC Cre. EKC '!$A$1:$I$219</definedName>
    <definedName name="_xlnm.Print_Area" localSheetId="28">'Wrsht. Q, Domestic Mfg. Ded.'!$A$1:$G$54</definedName>
    <definedName name="_xlnm.Print_Titles" localSheetId="1">'Form 1 Inputs'!$5:$5</definedName>
    <definedName name="_xlnm.Print_Titles" localSheetId="2">'Form 1 Inputs (TransYear)'!$5:$5</definedName>
    <definedName name="_xlnm.Print_Titles" localSheetId="17">'Wrksht. F, CWIP Desc. EKC'!$1:$10</definedName>
    <definedName name="_xlnm.Print_Titles" localSheetId="19">'Wrksht. H, CWIP Desc. EKS'!$1:$10</definedName>
    <definedName name="_xlnm.Print_Titles" localSheetId="20">'Wrksht. I, CWIP AFUDC Cre. EKS'!$1:$11</definedName>
    <definedName name="_xlnm.Print_Titles" localSheetId="22">'Wrksht. K, Dep. &amp; Accu. Dep $'!$1:$3</definedName>
    <definedName name="_xlnm.Print_Titles" localSheetId="30">'Wrksht. S Depreciation Rate'!$1:$8</definedName>
    <definedName name="_xlnm.Print_Titles" localSheetId="34">'Wrksht. U, YTM Bonds 1'!$1:$15</definedName>
    <definedName name="_xlnm.Print_Titles" localSheetId="18">'Wrsht. G, CWIP AFUDC Cre. EKC '!$1:$11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40" i="41" l="1"/>
  <c r="G9" i="85" l="1"/>
  <c r="H573" i="65" l="1"/>
  <c r="F573" i="65"/>
  <c r="A434" i="42" l="1"/>
  <c r="E62" i="18" l="1"/>
  <c r="D62" i="18" l="1"/>
  <c r="H437" i="31" l="1"/>
  <c r="F5" i="84" l="1"/>
  <c r="F10" i="18" l="1"/>
  <c r="E30" i="21" l="1"/>
  <c r="G394" i="65" l="1"/>
  <c r="E52" i="18" l="1"/>
  <c r="D52" i="18"/>
  <c r="E14" i="12" l="1"/>
  <c r="D14" i="12"/>
  <c r="B392" i="65" l="1"/>
  <c r="C392" i="65"/>
  <c r="D392" i="65"/>
  <c r="E392" i="65"/>
  <c r="G392" i="65"/>
  <c r="H392" i="65"/>
  <c r="J392" i="65"/>
  <c r="B393" i="65"/>
  <c r="C393" i="65"/>
  <c r="D393" i="65"/>
  <c r="E393" i="65"/>
  <c r="H393" i="65"/>
  <c r="G393" i="65" s="1"/>
  <c r="J393" i="65"/>
  <c r="B394" i="65"/>
  <c r="C394" i="65"/>
  <c r="D394" i="65"/>
  <c r="E394" i="65"/>
  <c r="J394" i="65"/>
  <c r="B395" i="65"/>
  <c r="C395" i="65"/>
  <c r="D395" i="65"/>
  <c r="H395" i="65" s="1"/>
  <c r="G395" i="65" s="1"/>
  <c r="E395" i="65"/>
  <c r="J395" i="65"/>
  <c r="B396" i="65"/>
  <c r="C396" i="65"/>
  <c r="D396" i="65"/>
  <c r="H396" i="65" s="1"/>
  <c r="G396" i="65" s="1"/>
  <c r="E396" i="65"/>
  <c r="J396" i="65"/>
  <c r="B397" i="65"/>
  <c r="C397" i="65"/>
  <c r="D397" i="65"/>
  <c r="E397" i="65"/>
  <c r="G397" i="65"/>
  <c r="H397" i="65"/>
  <c r="J397" i="65"/>
  <c r="B398" i="65"/>
  <c r="C398" i="65"/>
  <c r="D398" i="65"/>
  <c r="E398" i="65"/>
  <c r="H398" i="65"/>
  <c r="G398" i="65" s="1"/>
  <c r="J398" i="65"/>
  <c r="B399" i="65"/>
  <c r="C399" i="65"/>
  <c r="D399" i="65"/>
  <c r="E399" i="65"/>
  <c r="H399" i="65"/>
  <c r="G399" i="65" s="1"/>
  <c r="J399" i="65"/>
  <c r="B400" i="65"/>
  <c r="C400" i="65"/>
  <c r="D400" i="65"/>
  <c r="H400" i="65" s="1"/>
  <c r="G400" i="65" s="1"/>
  <c r="E400" i="65"/>
  <c r="J400" i="65"/>
  <c r="B401" i="65"/>
  <c r="C401" i="65"/>
  <c r="D401" i="65"/>
  <c r="E401" i="65"/>
  <c r="H401" i="65"/>
  <c r="G401" i="65" s="1"/>
  <c r="J401" i="65"/>
  <c r="B402" i="65"/>
  <c r="C402" i="65"/>
  <c r="D402" i="65"/>
  <c r="H402" i="65" s="1"/>
  <c r="G402" i="65" s="1"/>
  <c r="E402" i="65"/>
  <c r="J402" i="65"/>
  <c r="B403" i="65"/>
  <c r="C403" i="65"/>
  <c r="D403" i="65"/>
  <c r="H403" i="65" s="1"/>
  <c r="G403" i="65" s="1"/>
  <c r="E403" i="65"/>
  <c r="J403" i="65"/>
  <c r="B404" i="65"/>
  <c r="C404" i="65"/>
  <c r="D404" i="65"/>
  <c r="H404" i="65" s="1"/>
  <c r="G404" i="65" s="1"/>
  <c r="E404" i="65"/>
  <c r="J404" i="65"/>
  <c r="A392" i="65"/>
  <c r="A393" i="65" s="1"/>
  <c r="A394" i="65" s="1"/>
  <c r="A395" i="65" s="1"/>
  <c r="A396" i="65" s="1"/>
  <c r="A397" i="65" s="1"/>
  <c r="A398" i="65" s="1"/>
  <c r="A399" i="65" s="1"/>
  <c r="A400" i="65" s="1"/>
  <c r="A401" i="65" s="1"/>
  <c r="A402" i="65" s="1"/>
  <c r="A403" i="65" s="1"/>
  <c r="A404" i="65" s="1"/>
  <c r="A405" i="65" s="1"/>
  <c r="B247" i="31"/>
  <c r="C247" i="31"/>
  <c r="D247" i="31"/>
  <c r="H247" i="31" s="1"/>
  <c r="G247" i="31" s="1"/>
  <c r="E247" i="31"/>
  <c r="J247" i="31"/>
  <c r="B248" i="31"/>
  <c r="C248" i="31"/>
  <c r="D248" i="31"/>
  <c r="H248" i="31" s="1"/>
  <c r="G248" i="31" s="1"/>
  <c r="E248" i="31"/>
  <c r="J248" i="31"/>
  <c r="B249" i="31"/>
  <c r="C249" i="31"/>
  <c r="D249" i="31"/>
  <c r="H249" i="31" s="1"/>
  <c r="E249" i="31"/>
  <c r="G249" i="31"/>
  <c r="J249" i="31"/>
  <c r="B250" i="31"/>
  <c r="C250" i="31"/>
  <c r="D250" i="31"/>
  <c r="H250" i="31" s="1"/>
  <c r="E250" i="31"/>
  <c r="G250" i="31"/>
  <c r="J250" i="31"/>
  <c r="B251" i="31"/>
  <c r="C251" i="31"/>
  <c r="D251" i="31"/>
  <c r="H251" i="31" s="1"/>
  <c r="E251" i="31"/>
  <c r="G251" i="31"/>
  <c r="J251" i="31"/>
  <c r="E184" i="37" l="1"/>
  <c r="E185" i="37"/>
  <c r="I333" i="38" l="1"/>
  <c r="I334" i="38"/>
  <c r="I335" i="38"/>
  <c r="I336" i="38"/>
  <c r="I337" i="38"/>
  <c r="I338" i="38"/>
  <c r="I339" i="38"/>
  <c r="I340" i="38"/>
  <c r="I341" i="38"/>
  <c r="I342" i="38"/>
  <c r="I343" i="38"/>
  <c r="I344" i="38"/>
  <c r="I345" i="38"/>
  <c r="B333" i="38"/>
  <c r="C333" i="38"/>
  <c r="B334" i="38"/>
  <c r="C334" i="38"/>
  <c r="B335" i="38"/>
  <c r="C335" i="38"/>
  <c r="B336" i="38"/>
  <c r="C336" i="38"/>
  <c r="B337" i="38"/>
  <c r="C337" i="38"/>
  <c r="B338" i="38"/>
  <c r="C338" i="38"/>
  <c r="B339" i="38"/>
  <c r="C339" i="38"/>
  <c r="B340" i="38"/>
  <c r="C340" i="38"/>
  <c r="B341" i="38"/>
  <c r="C341" i="38"/>
  <c r="B342" i="38"/>
  <c r="C342" i="38"/>
  <c r="B343" i="38"/>
  <c r="C343" i="38"/>
  <c r="B344" i="38"/>
  <c r="C344" i="38"/>
  <c r="B345" i="38"/>
  <c r="C345" i="38"/>
  <c r="A333" i="38"/>
  <c r="A334" i="38" s="1"/>
  <c r="A335" i="38" s="1"/>
  <c r="A336" i="38" s="1"/>
  <c r="A337" i="38" s="1"/>
  <c r="A338" i="38" s="1"/>
  <c r="A339" i="38" s="1"/>
  <c r="A340" i="38" s="1"/>
  <c r="A341" i="38" s="1"/>
  <c r="A342" i="38" s="1"/>
  <c r="A343" i="38" s="1"/>
  <c r="A344" i="38" s="1"/>
  <c r="A345" i="38" s="1"/>
  <c r="A332" i="36"/>
  <c r="A333" i="36" s="1"/>
  <c r="A334" i="36" s="1"/>
  <c r="A335" i="36" s="1"/>
  <c r="A336" i="36" s="1"/>
  <c r="A337" i="36" s="1"/>
  <c r="A338" i="36" s="1"/>
  <c r="A339" i="36" s="1"/>
  <c r="A340" i="36" s="1"/>
  <c r="A341" i="36" s="1"/>
  <c r="A342" i="36" s="1"/>
  <c r="A343" i="36" s="1"/>
  <c r="A344" i="36" s="1"/>
  <c r="I212" i="37" l="1"/>
  <c r="I211" i="37"/>
  <c r="I210" i="37"/>
  <c r="I209" i="37"/>
  <c r="I208" i="37"/>
  <c r="E212" i="37"/>
  <c r="E211" i="37"/>
  <c r="E210" i="37"/>
  <c r="E209" i="37"/>
  <c r="E208" i="37"/>
  <c r="C208" i="37"/>
  <c r="C209" i="37"/>
  <c r="C210" i="37"/>
  <c r="C211" i="37"/>
  <c r="C212" i="37"/>
  <c r="A208" i="37"/>
  <c r="A209" i="37" s="1"/>
  <c r="A210" i="37" s="1"/>
  <c r="A211" i="37" s="1"/>
  <c r="A212" i="37" s="1"/>
  <c r="E176" i="37"/>
  <c r="A207" i="35"/>
  <c r="A208" i="35" s="1"/>
  <c r="A209" i="35" s="1"/>
  <c r="A210" i="35" s="1"/>
  <c r="A211" i="35" s="1"/>
  <c r="D374" i="31" l="1"/>
  <c r="E374" i="31"/>
  <c r="F374" i="31"/>
  <c r="G374" i="31"/>
  <c r="H374" i="31"/>
  <c r="F9" i="85" l="1"/>
  <c r="A459" i="42" l="1"/>
  <c r="C27" i="53" l="1"/>
  <c r="H156" i="41"/>
  <c r="A449" i="42" l="1"/>
  <c r="D449" i="42"/>
  <c r="E449" i="42"/>
  <c r="F449" i="42"/>
  <c r="G449" i="42"/>
  <c r="H447" i="42"/>
  <c r="H446" i="42"/>
  <c r="H445" i="42"/>
  <c r="H444" i="42"/>
  <c r="H443" i="42"/>
  <c r="H442" i="42"/>
  <c r="H441" i="42"/>
  <c r="H440" i="42"/>
  <c r="H422" i="42"/>
  <c r="H423" i="42"/>
  <c r="H424" i="42"/>
  <c r="H425" i="42"/>
  <c r="H426" i="42"/>
  <c r="H427" i="42"/>
  <c r="H428" i="42"/>
  <c r="H429" i="42"/>
  <c r="H430" i="42"/>
  <c r="H431" i="42"/>
  <c r="H432" i="42"/>
  <c r="R33" i="50" l="1"/>
  <c r="R24" i="50"/>
  <c r="R23" i="50"/>
  <c r="V24" i="49"/>
  <c r="V23" i="49"/>
  <c r="AB23" i="49" s="1"/>
  <c r="P76" i="47"/>
  <c r="P46" i="47"/>
  <c r="P47" i="47"/>
  <c r="P48" i="47"/>
  <c r="P49" i="47"/>
  <c r="P50" i="47"/>
  <c r="P51" i="47"/>
  <c r="P52" i="47"/>
  <c r="P53" i="47"/>
  <c r="P54" i="47"/>
  <c r="P55" i="47"/>
  <c r="P56" i="47"/>
  <c r="P57" i="47"/>
  <c r="P58" i="47"/>
  <c r="P59" i="47"/>
  <c r="P60" i="47"/>
  <c r="P61" i="47"/>
  <c r="P62" i="47"/>
  <c r="P63" i="47"/>
  <c r="P64" i="47"/>
  <c r="P65" i="47"/>
  <c r="P66" i="47"/>
  <c r="P67" i="47"/>
  <c r="P68" i="47"/>
  <c r="P69" i="47"/>
  <c r="P70" i="47"/>
  <c r="P71" i="47"/>
  <c r="P72" i="47"/>
  <c r="P73" i="47"/>
  <c r="P74" i="47"/>
  <c r="P75" i="47"/>
  <c r="N18" i="47"/>
  <c r="N19" i="47" s="1"/>
  <c r="N20" i="47" s="1"/>
  <c r="N21" i="47" s="1"/>
  <c r="N22" i="47" s="1"/>
  <c r="N23" i="47" s="1"/>
  <c r="N24" i="47" s="1"/>
  <c r="N25" i="47" s="1"/>
  <c r="N26" i="47" s="1"/>
  <c r="N27" i="47" s="1"/>
  <c r="N28" i="47" s="1"/>
  <c r="N29" i="47" s="1"/>
  <c r="N30" i="47" s="1"/>
  <c r="N31" i="47" s="1"/>
  <c r="N32" i="47" s="1"/>
  <c r="N33" i="47" s="1"/>
  <c r="N34" i="47" s="1"/>
  <c r="N35" i="47" s="1"/>
  <c r="N36" i="47" s="1"/>
  <c r="N17" i="47"/>
  <c r="N16" i="47"/>
  <c r="N11" i="47"/>
  <c r="N10" i="47"/>
  <c r="N9" i="47"/>
  <c r="N14" i="47" s="1"/>
  <c r="N8" i="47"/>
  <c r="M11" i="47"/>
  <c r="M16" i="47" s="1"/>
  <c r="M10" i="47"/>
  <c r="M9" i="47"/>
  <c r="M8" i="47"/>
  <c r="X23" i="49"/>
  <c r="Z23" i="49" s="1"/>
  <c r="X24" i="49"/>
  <c r="Z24" i="49"/>
  <c r="T23" i="49"/>
  <c r="T24" i="49"/>
  <c r="P24" i="49"/>
  <c r="P23" i="49"/>
  <c r="A37" i="49"/>
  <c r="A38" i="49"/>
  <c r="A39" i="49"/>
  <c r="A36" i="49"/>
  <c r="A32" i="49"/>
  <c r="A33" i="49"/>
  <c r="A31" i="49"/>
  <c r="A28" i="49"/>
  <c r="A27" i="49"/>
  <c r="A15" i="49"/>
  <c r="A16" i="49"/>
  <c r="A17" i="49"/>
  <c r="A18" i="49"/>
  <c r="A19" i="49"/>
  <c r="A20" i="49"/>
  <c r="A21" i="49"/>
  <c r="A22" i="49"/>
  <c r="A23" i="49"/>
  <c r="A24" i="49"/>
  <c r="A14" i="49"/>
  <c r="H23" i="49"/>
  <c r="H24" i="49"/>
  <c r="D23" i="49"/>
  <c r="F23" i="49"/>
  <c r="D24" i="49"/>
  <c r="F24" i="49"/>
  <c r="C23" i="49"/>
  <c r="C24" i="49"/>
  <c r="B23" i="49"/>
  <c r="B24" i="49"/>
  <c r="B14" i="49"/>
  <c r="B15" i="49"/>
  <c r="B16" i="49"/>
  <c r="B17" i="49"/>
  <c r="B18" i="49"/>
  <c r="B19" i="49"/>
  <c r="B20" i="49"/>
  <c r="B21" i="49"/>
  <c r="B22" i="49"/>
  <c r="N23" i="50"/>
  <c r="N24" i="50"/>
  <c r="J23" i="50"/>
  <c r="J24" i="50"/>
  <c r="C4" i="50"/>
  <c r="F49" i="69"/>
  <c r="F48" i="69"/>
  <c r="E49" i="69"/>
  <c r="E48" i="69"/>
  <c r="F47" i="69"/>
  <c r="F46" i="69"/>
  <c r="E47" i="69"/>
  <c r="E46" i="69"/>
  <c r="M17" i="47" l="1"/>
  <c r="M18" i="47" s="1"/>
  <c r="M19" i="47" s="1"/>
  <c r="M20" i="47" s="1"/>
  <c r="M21" i="47" s="1"/>
  <c r="M22" i="47" s="1"/>
  <c r="M23" i="47" s="1"/>
  <c r="M24" i="47" s="1"/>
  <c r="M25" i="47" s="1"/>
  <c r="M26" i="47" s="1"/>
  <c r="M27" i="47" s="1"/>
  <c r="M28" i="47" s="1"/>
  <c r="M29" i="47" s="1"/>
  <c r="M30" i="47" s="1"/>
  <c r="M31" i="47" s="1"/>
  <c r="M32" i="47" s="1"/>
  <c r="M33" i="47" s="1"/>
  <c r="M34" i="47" s="1"/>
  <c r="M35" i="47" s="1"/>
  <c r="M36" i="47" s="1"/>
  <c r="M37" i="47" s="1"/>
  <c r="M38" i="47" s="1"/>
  <c r="M39" i="47" s="1"/>
  <c r="M40" i="47" s="1"/>
  <c r="M41" i="47" s="1"/>
  <c r="M42" i="47" s="1"/>
  <c r="M43" i="47" s="1"/>
  <c r="M44" i="47" s="1"/>
  <c r="M45" i="47" s="1"/>
  <c r="M46" i="47" s="1"/>
  <c r="M47" i="47" s="1"/>
  <c r="M48" i="47" s="1"/>
  <c r="M49" i="47" s="1"/>
  <c r="M50" i="47" s="1"/>
  <c r="M51" i="47" s="1"/>
  <c r="M52" i="47" s="1"/>
  <c r="M53" i="47" s="1"/>
  <c r="M54" i="47" s="1"/>
  <c r="M55" i="47" s="1"/>
  <c r="M56" i="47" s="1"/>
  <c r="M57" i="47" s="1"/>
  <c r="M58" i="47" s="1"/>
  <c r="M59" i="47" s="1"/>
  <c r="M60" i="47" s="1"/>
  <c r="M61" i="47" s="1"/>
  <c r="M62" i="47" s="1"/>
  <c r="M63" i="47" s="1"/>
  <c r="M64" i="47" s="1"/>
  <c r="M65" i="47" s="1"/>
  <c r="M66" i="47" s="1"/>
  <c r="M67" i="47" s="1"/>
  <c r="M68" i="47" s="1"/>
  <c r="M69" i="47" s="1"/>
  <c r="M70" i="47" s="1"/>
  <c r="M71" i="47" s="1"/>
  <c r="M72" i="47" s="1"/>
  <c r="M73" i="47" s="1"/>
  <c r="M74" i="47" s="1"/>
  <c r="M75" i="47" s="1"/>
  <c r="M76" i="47" s="1"/>
  <c r="M14" i="47"/>
  <c r="E32" i="34"/>
  <c r="E33" i="34"/>
  <c r="E34" i="34"/>
  <c r="E35" i="34"/>
  <c r="E36" i="34"/>
  <c r="E37" i="34"/>
  <c r="E38" i="34"/>
  <c r="E39" i="34"/>
  <c r="E40" i="34"/>
  <c r="E41" i="34"/>
  <c r="E42" i="34"/>
  <c r="E43" i="34"/>
  <c r="G43" i="85" l="1"/>
  <c r="I43" i="85" s="1"/>
  <c r="G41" i="85"/>
  <c r="I41" i="85" s="1"/>
  <c r="G39" i="85"/>
  <c r="I39" i="85" s="1"/>
  <c r="G37" i="85"/>
  <c r="I37" i="85" s="1"/>
  <c r="G11" i="85"/>
  <c r="I11" i="85" s="1"/>
  <c r="E496" i="65" l="1"/>
  <c r="E177" i="38"/>
  <c r="E217" i="38"/>
  <c r="E201" i="38"/>
  <c r="E169" i="38"/>
  <c r="F30" i="21" l="1"/>
  <c r="G30" i="21" s="1"/>
  <c r="E262" i="38" l="1"/>
  <c r="E332" i="38"/>
  <c r="E331" i="38"/>
  <c r="E330" i="38"/>
  <c r="E329" i="38"/>
  <c r="E328" i="38"/>
  <c r="E327" i="38"/>
  <c r="E326" i="38"/>
  <c r="E325" i="38"/>
  <c r="E324" i="38"/>
  <c r="E323" i="38"/>
  <c r="E322" i="38"/>
  <c r="E321" i="38"/>
  <c r="E320" i="38"/>
  <c r="E319" i="38"/>
  <c r="E318" i="38"/>
  <c r="E317" i="38"/>
  <c r="E316" i="38"/>
  <c r="E315" i="38"/>
  <c r="E314" i="38"/>
  <c r="E313" i="38"/>
  <c r="E312" i="38"/>
  <c r="E51" i="18" l="1"/>
  <c r="D51" i="18"/>
  <c r="E32" i="18" l="1"/>
  <c r="A383" i="31" l="1"/>
  <c r="A384" i="31" s="1"/>
  <c r="A385" i="31" s="1"/>
  <c r="A386" i="31" s="1"/>
  <c r="A387" i="31" s="1"/>
  <c r="A388" i="31" s="1"/>
  <c r="A389" i="31" s="1"/>
  <c r="A390" i="31" s="1"/>
  <c r="A391" i="31" s="1"/>
  <c r="A392" i="31" s="1"/>
  <c r="A393" i="31" s="1"/>
  <c r="A394" i="31" s="1"/>
  <c r="A395" i="31" s="1"/>
  <c r="A396" i="31" s="1"/>
  <c r="A397" i="31" s="1"/>
  <c r="A398" i="31" s="1"/>
  <c r="A399" i="31" s="1"/>
  <c r="A400" i="31" s="1"/>
  <c r="A401" i="31" s="1"/>
  <c r="A402" i="31" s="1"/>
  <c r="A403" i="31" s="1"/>
  <c r="A404" i="31" s="1"/>
  <c r="A405" i="31" s="1"/>
  <c r="A406" i="31" s="1"/>
  <c r="A407" i="31" s="1"/>
  <c r="A408" i="31" s="1"/>
  <c r="A409" i="31" s="1"/>
  <c r="A410" i="31" s="1"/>
  <c r="A411" i="31" s="1"/>
  <c r="A412" i="31" s="1"/>
  <c r="A413" i="31" s="1"/>
  <c r="A414" i="31" s="1"/>
  <c r="A415" i="31" s="1"/>
  <c r="A416" i="31" s="1"/>
  <c r="A417" i="31" s="1"/>
  <c r="A418" i="31" s="1"/>
  <c r="A419" i="31" s="1"/>
  <c r="A420" i="31" s="1"/>
  <c r="A421" i="31" s="1"/>
  <c r="A422" i="31" s="1"/>
  <c r="A423" i="31" s="1"/>
  <c r="A424" i="31" s="1"/>
  <c r="A425" i="31" s="1"/>
  <c r="A426" i="31" s="1"/>
  <c r="A427" i="31" s="1"/>
  <c r="A428" i="31" s="1"/>
  <c r="A429" i="31" s="1"/>
  <c r="A430" i="31" s="1"/>
  <c r="I324" i="38" l="1"/>
  <c r="D383" i="65" s="1"/>
  <c r="I325" i="38"/>
  <c r="D384" i="65" s="1"/>
  <c r="G384" i="65" s="1"/>
  <c r="I326" i="38"/>
  <c r="D385" i="65" s="1"/>
  <c r="H385" i="65" s="1"/>
  <c r="G385" i="65" s="1"/>
  <c r="I327" i="38"/>
  <c r="D386" i="65" s="1"/>
  <c r="H386" i="65" s="1"/>
  <c r="G386" i="65" s="1"/>
  <c r="I328" i="38"/>
  <c r="D387" i="65" s="1"/>
  <c r="H387" i="65" s="1"/>
  <c r="G387" i="65" s="1"/>
  <c r="I330" i="38"/>
  <c r="D389" i="65" s="1"/>
  <c r="I331" i="38"/>
  <c r="D390" i="65" s="1"/>
  <c r="H390" i="65" s="1"/>
  <c r="G390" i="65" s="1"/>
  <c r="I332" i="38"/>
  <c r="D391" i="65" s="1"/>
  <c r="H391" i="65" s="1"/>
  <c r="G391" i="65" s="1"/>
  <c r="I322" i="38"/>
  <c r="D381" i="65" s="1"/>
  <c r="H381" i="65" s="1"/>
  <c r="G381" i="65" s="1"/>
  <c r="I323" i="38"/>
  <c r="D382" i="65" s="1"/>
  <c r="H382" i="65" s="1"/>
  <c r="G382" i="65" s="1"/>
  <c r="I329" i="38"/>
  <c r="D388" i="65" s="1"/>
  <c r="H388" i="65" s="1"/>
  <c r="G388" i="65" s="1"/>
  <c r="B332" i="38"/>
  <c r="C332" i="38"/>
  <c r="B322" i="38"/>
  <c r="C322" i="38"/>
  <c r="B323" i="38"/>
  <c r="C323" i="38"/>
  <c r="B324" i="38"/>
  <c r="C324" i="38"/>
  <c r="B325" i="38"/>
  <c r="C325" i="38"/>
  <c r="B326" i="38"/>
  <c r="C326" i="38"/>
  <c r="B327" i="38"/>
  <c r="C327" i="38"/>
  <c r="B328" i="38"/>
  <c r="C328" i="38"/>
  <c r="B329" i="38"/>
  <c r="C329" i="38"/>
  <c r="B330" i="38"/>
  <c r="C330" i="38"/>
  <c r="B331" i="38"/>
  <c r="C331" i="38"/>
  <c r="B390" i="65"/>
  <c r="C390" i="65"/>
  <c r="E390" i="65"/>
  <c r="J390" i="65"/>
  <c r="B391" i="65"/>
  <c r="C391" i="65"/>
  <c r="E391" i="65"/>
  <c r="J391" i="65"/>
  <c r="B388" i="65"/>
  <c r="C388" i="65"/>
  <c r="E388" i="65"/>
  <c r="J388" i="65"/>
  <c r="B389" i="65"/>
  <c r="C389" i="65"/>
  <c r="E389" i="65"/>
  <c r="J389" i="65"/>
  <c r="B381" i="65"/>
  <c r="C381" i="65"/>
  <c r="E381" i="65"/>
  <c r="J381" i="65"/>
  <c r="B382" i="65"/>
  <c r="C382" i="65"/>
  <c r="E382" i="65"/>
  <c r="J382" i="65"/>
  <c r="B383" i="65"/>
  <c r="C383" i="65"/>
  <c r="H383" i="65"/>
  <c r="G383" i="65" s="1"/>
  <c r="E383" i="65"/>
  <c r="J383" i="65"/>
  <c r="B384" i="65"/>
  <c r="C384" i="65"/>
  <c r="E384" i="65"/>
  <c r="J384" i="65"/>
  <c r="B385" i="65"/>
  <c r="C385" i="65"/>
  <c r="E385" i="65"/>
  <c r="J385" i="65"/>
  <c r="B386" i="65"/>
  <c r="C386" i="65"/>
  <c r="E386" i="65"/>
  <c r="J386" i="65"/>
  <c r="B387" i="65"/>
  <c r="C387" i="65"/>
  <c r="E387" i="65"/>
  <c r="J387" i="65"/>
  <c r="B241" i="31"/>
  <c r="C241" i="31"/>
  <c r="E241" i="31"/>
  <c r="J241" i="31"/>
  <c r="B242" i="31"/>
  <c r="C242" i="31"/>
  <c r="E242" i="31"/>
  <c r="J242" i="31"/>
  <c r="B243" i="31"/>
  <c r="C243" i="31"/>
  <c r="E243" i="31"/>
  <c r="J243" i="31"/>
  <c r="B244" i="31"/>
  <c r="C244" i="31"/>
  <c r="E244" i="31"/>
  <c r="J244" i="31"/>
  <c r="B245" i="31"/>
  <c r="C245" i="31"/>
  <c r="E245" i="31"/>
  <c r="J245" i="31"/>
  <c r="B246" i="31"/>
  <c r="C246" i="31"/>
  <c r="E246" i="31"/>
  <c r="J246" i="31"/>
  <c r="A522" i="65"/>
  <c r="A523" i="65" s="1"/>
  <c r="A524" i="65" s="1"/>
  <c r="A525" i="65" s="1"/>
  <c r="A526" i="65" s="1"/>
  <c r="A527" i="65" s="1"/>
  <c r="A528" i="65" s="1"/>
  <c r="A529" i="65" s="1"/>
  <c r="A530" i="65" s="1"/>
  <c r="A531" i="65" s="1"/>
  <c r="A532" i="65" s="1"/>
  <c r="A533" i="65" s="1"/>
  <c r="A534" i="65" s="1"/>
  <c r="A535" i="65" s="1"/>
  <c r="A536" i="65" s="1"/>
  <c r="A537" i="65" s="1"/>
  <c r="A538" i="65" s="1"/>
  <c r="A539" i="65" s="1"/>
  <c r="A540" i="65" s="1"/>
  <c r="A541" i="65" s="1"/>
  <c r="A542" i="65" s="1"/>
  <c r="A543" i="65" s="1"/>
  <c r="A544" i="65" s="1"/>
  <c r="A545" i="65" s="1"/>
  <c r="A546" i="65" s="1"/>
  <c r="A547" i="65" s="1"/>
  <c r="A548" i="65" s="1"/>
  <c r="A549" i="65" s="1"/>
  <c r="A550" i="65" s="1"/>
  <c r="H389" i="65" l="1"/>
  <c r="D405" i="65"/>
  <c r="A551" i="65"/>
  <c r="A552" i="65" s="1"/>
  <c r="A553" i="65" s="1"/>
  <c r="A554" i="65" s="1"/>
  <c r="A555" i="65" s="1"/>
  <c r="A556" i="65" s="1"/>
  <c r="A557" i="65" s="1"/>
  <c r="A558" i="65" s="1"/>
  <c r="A559" i="65" s="1"/>
  <c r="A560" i="65" s="1"/>
  <c r="A561" i="65" s="1"/>
  <c r="A562" i="65" s="1"/>
  <c r="A563" i="65" s="1"/>
  <c r="A564" i="65" s="1"/>
  <c r="A565" i="65" s="1"/>
  <c r="D573" i="65"/>
  <c r="D576" i="65" s="1"/>
  <c r="F576" i="65"/>
  <c r="G573" i="65"/>
  <c r="G576" i="65" s="1"/>
  <c r="E573" i="65"/>
  <c r="E576" i="65" s="1"/>
  <c r="G389" i="65" l="1"/>
  <c r="G405" i="65" s="1"/>
  <c r="H405" i="65"/>
  <c r="H151" i="41"/>
  <c r="H152" i="41"/>
  <c r="H153" i="41"/>
  <c r="H154" i="41"/>
  <c r="I405" i="65" l="1"/>
  <c r="H410" i="42"/>
  <c r="H411" i="42"/>
  <c r="H412" i="42"/>
  <c r="H413" i="42"/>
  <c r="H414" i="42"/>
  <c r="H415" i="42"/>
  <c r="H416" i="42"/>
  <c r="H417" i="42"/>
  <c r="H418" i="42"/>
  <c r="H419" i="42"/>
  <c r="H420" i="42"/>
  <c r="H421" i="42"/>
  <c r="E202" i="37" l="1"/>
  <c r="I202" i="37" s="1"/>
  <c r="D241" i="31" s="1"/>
  <c r="H241" i="31" s="1"/>
  <c r="G241" i="31" s="1"/>
  <c r="E203" i="37"/>
  <c r="I203" i="37" s="1"/>
  <c r="D242" i="31" s="1"/>
  <c r="H242" i="31" s="1"/>
  <c r="G242" i="31" s="1"/>
  <c r="E204" i="37"/>
  <c r="I204" i="37" s="1"/>
  <c r="D243" i="31" s="1"/>
  <c r="H243" i="31" s="1"/>
  <c r="G243" i="31" s="1"/>
  <c r="E205" i="37"/>
  <c r="I205" i="37" s="1"/>
  <c r="D244" i="31" s="1"/>
  <c r="H244" i="31" s="1"/>
  <c r="G244" i="31" s="1"/>
  <c r="E206" i="37"/>
  <c r="I206" i="37" s="1"/>
  <c r="D245" i="31" s="1"/>
  <c r="H245" i="31" s="1"/>
  <c r="G245" i="31" s="1"/>
  <c r="E207" i="37"/>
  <c r="I207" i="37" s="1"/>
  <c r="D246" i="31" s="1"/>
  <c r="C202" i="37"/>
  <c r="C203" i="37"/>
  <c r="C204" i="37"/>
  <c r="C205" i="37"/>
  <c r="C206" i="37"/>
  <c r="C207" i="37"/>
  <c r="G246" i="31" l="1"/>
  <c r="R10" i="47"/>
  <c r="Q10" i="47"/>
  <c r="P10" i="47"/>
  <c r="O10" i="47"/>
  <c r="L10" i="47"/>
  <c r="K10" i="47"/>
  <c r="P9" i="47"/>
  <c r="R8" i="47"/>
  <c r="P8" i="47"/>
  <c r="Q8" i="47"/>
  <c r="O8" i="47"/>
  <c r="L8" i="47"/>
  <c r="K8" i="47"/>
  <c r="N33" i="50"/>
  <c r="J33" i="50"/>
  <c r="J32" i="50"/>
  <c r="N32" i="50" s="1"/>
  <c r="J31" i="50"/>
  <c r="N31" i="50" s="1"/>
  <c r="J22" i="50"/>
  <c r="N22" i="50" s="1"/>
  <c r="J21" i="50"/>
  <c r="N21" i="50" s="1"/>
  <c r="J20" i="50"/>
  <c r="N20" i="50" s="1"/>
  <c r="J19" i="50"/>
  <c r="N19" i="50" s="1"/>
  <c r="J18" i="50"/>
  <c r="N18" i="50" s="1"/>
  <c r="J17" i="50"/>
  <c r="N17" i="50" s="1"/>
  <c r="J16" i="50"/>
  <c r="N16" i="50" s="1"/>
  <c r="J15" i="50"/>
  <c r="N15" i="50" s="1"/>
  <c r="J14" i="50"/>
  <c r="N14" i="50" s="1"/>
  <c r="I9" i="85" l="1"/>
  <c r="E302" i="38" l="1"/>
  <c r="I302" i="38" s="1"/>
  <c r="D351" i="65" s="1"/>
  <c r="H351" i="65" s="1"/>
  <c r="G351" i="65" s="1"/>
  <c r="G63" i="18"/>
  <c r="E294" i="38"/>
  <c r="E191" i="37"/>
  <c r="I191" i="37" s="1"/>
  <c r="D230" i="31" s="1"/>
  <c r="H230" i="31" s="1"/>
  <c r="G230" i="31" s="1"/>
  <c r="H643" i="65"/>
  <c r="H646" i="65" s="1"/>
  <c r="D643" i="65"/>
  <c r="D646" i="65" s="1"/>
  <c r="D496" i="65"/>
  <c r="D499" i="65" s="1"/>
  <c r="D437" i="31"/>
  <c r="D440" i="31" s="1"/>
  <c r="F437" i="31"/>
  <c r="F440" i="31" s="1"/>
  <c r="D357" i="31"/>
  <c r="E293" i="38"/>
  <c r="I293" i="38" s="1"/>
  <c r="D342" i="65" s="1"/>
  <c r="G342" i="65" s="1"/>
  <c r="E303" i="38"/>
  <c r="I303" i="38" s="1"/>
  <c r="D352" i="65" s="1"/>
  <c r="G352" i="65" s="1"/>
  <c r="I321" i="38"/>
  <c r="D380" i="65" s="1"/>
  <c r="H380" i="65" s="1"/>
  <c r="G380" i="65" s="1"/>
  <c r="C321" i="38"/>
  <c r="B321" i="38"/>
  <c r="I320" i="38"/>
  <c r="D379" i="65" s="1"/>
  <c r="H379" i="65" s="1"/>
  <c r="G379" i="65" s="1"/>
  <c r="C320" i="38"/>
  <c r="B320" i="38"/>
  <c r="I319" i="38"/>
  <c r="D378" i="65" s="1"/>
  <c r="H378" i="65" s="1"/>
  <c r="G378" i="65" s="1"/>
  <c r="C319" i="38"/>
  <c r="B319" i="38"/>
  <c r="I318" i="38"/>
  <c r="D377" i="65" s="1"/>
  <c r="G377" i="65" s="1"/>
  <c r="C318" i="38"/>
  <c r="B318" i="38"/>
  <c r="I317" i="38"/>
  <c r="D376" i="65" s="1"/>
  <c r="H376" i="65" s="1"/>
  <c r="G376" i="65" s="1"/>
  <c r="C317" i="38"/>
  <c r="B317" i="38"/>
  <c r="I316" i="38"/>
  <c r="D375" i="65" s="1"/>
  <c r="H375" i="65" s="1"/>
  <c r="G375" i="65" s="1"/>
  <c r="C316" i="38"/>
  <c r="B316" i="38"/>
  <c r="I315" i="38"/>
  <c r="D374" i="65" s="1"/>
  <c r="H374" i="65" s="1"/>
  <c r="G374" i="65" s="1"/>
  <c r="C315" i="38"/>
  <c r="B315" i="38"/>
  <c r="I314" i="38"/>
  <c r="D373" i="65" s="1"/>
  <c r="H373" i="65" s="1"/>
  <c r="G373" i="65" s="1"/>
  <c r="C314" i="38"/>
  <c r="B314" i="38"/>
  <c r="I313" i="38"/>
  <c r="D372" i="65" s="1"/>
  <c r="H372" i="65" s="1"/>
  <c r="G372" i="65" s="1"/>
  <c r="C313" i="38"/>
  <c r="B313" i="38"/>
  <c r="I312" i="38"/>
  <c r="D371" i="65" s="1"/>
  <c r="G371" i="65" s="1"/>
  <c r="C312" i="38"/>
  <c r="B312" i="38"/>
  <c r="J380" i="65"/>
  <c r="E380" i="65"/>
  <c r="C380" i="65"/>
  <c r="B380" i="65"/>
  <c r="J379" i="65"/>
  <c r="E379" i="65"/>
  <c r="C379" i="65"/>
  <c r="B379" i="65"/>
  <c r="J378" i="65"/>
  <c r="E378" i="65"/>
  <c r="C378" i="65"/>
  <c r="B378" i="65"/>
  <c r="J377" i="65"/>
  <c r="E377" i="65"/>
  <c r="C377" i="65"/>
  <c r="B377" i="65"/>
  <c r="J376" i="65"/>
  <c r="E376" i="65"/>
  <c r="C376" i="65"/>
  <c r="B376" i="65"/>
  <c r="J375" i="65"/>
  <c r="E375" i="65"/>
  <c r="C375" i="65"/>
  <c r="B375" i="65"/>
  <c r="J374" i="65"/>
  <c r="E374" i="65"/>
  <c r="C374" i="65"/>
  <c r="B374" i="65"/>
  <c r="J373" i="65"/>
  <c r="E373" i="65"/>
  <c r="C373" i="65"/>
  <c r="B373" i="65"/>
  <c r="J372" i="65"/>
  <c r="E372" i="65"/>
  <c r="C372" i="65"/>
  <c r="B372" i="65"/>
  <c r="J371" i="65"/>
  <c r="E371" i="65"/>
  <c r="C371" i="65"/>
  <c r="B371" i="65"/>
  <c r="J300" i="65"/>
  <c r="E300" i="65"/>
  <c r="C300" i="65"/>
  <c r="B300" i="65"/>
  <c r="J299" i="65"/>
  <c r="E299" i="65"/>
  <c r="C299" i="65"/>
  <c r="B299" i="65"/>
  <c r="J298" i="65"/>
  <c r="E298" i="65"/>
  <c r="C298" i="65"/>
  <c r="B298" i="65"/>
  <c r="J297" i="65"/>
  <c r="E297" i="65"/>
  <c r="C297" i="65"/>
  <c r="B297" i="65"/>
  <c r="J296" i="65"/>
  <c r="E296" i="65"/>
  <c r="C296" i="65"/>
  <c r="B296" i="65"/>
  <c r="J240" i="31"/>
  <c r="E240" i="31"/>
  <c r="C240" i="31"/>
  <c r="B240" i="31"/>
  <c r="J239" i="31"/>
  <c r="E239" i="31"/>
  <c r="C239" i="31"/>
  <c r="B239" i="31"/>
  <c r="J238" i="31"/>
  <c r="E238" i="31"/>
  <c r="C238" i="31"/>
  <c r="B238" i="31"/>
  <c r="J237" i="31"/>
  <c r="E237" i="31"/>
  <c r="C237" i="31"/>
  <c r="B237" i="31"/>
  <c r="J236" i="31"/>
  <c r="E236" i="31"/>
  <c r="C236" i="31"/>
  <c r="B236" i="31"/>
  <c r="E201" i="37"/>
  <c r="I201" i="37" s="1"/>
  <c r="D240" i="31" s="1"/>
  <c r="H240" i="31" s="1"/>
  <c r="G240" i="31" s="1"/>
  <c r="E200" i="37"/>
  <c r="I200" i="37" s="1"/>
  <c r="D239" i="31" s="1"/>
  <c r="H239" i="31" s="1"/>
  <c r="G239" i="31" s="1"/>
  <c r="E199" i="37"/>
  <c r="I199" i="37" s="1"/>
  <c r="D238" i="31" s="1"/>
  <c r="H238" i="31" s="1"/>
  <c r="G238" i="31" s="1"/>
  <c r="E198" i="37"/>
  <c r="I198" i="37" s="1"/>
  <c r="D237" i="31" s="1"/>
  <c r="G237" i="31" s="1"/>
  <c r="E197" i="37"/>
  <c r="I197" i="37" s="1"/>
  <c r="D236" i="31" s="1"/>
  <c r="H236" i="31" s="1"/>
  <c r="G236" i="31" s="1"/>
  <c r="C201" i="37"/>
  <c r="C200" i="37"/>
  <c r="C199" i="37"/>
  <c r="C198" i="37"/>
  <c r="C197" i="37"/>
  <c r="H150" i="41"/>
  <c r="H149" i="41"/>
  <c r="H148" i="41"/>
  <c r="H147" i="41"/>
  <c r="H146" i="41"/>
  <c r="H138" i="41"/>
  <c r="H409" i="42"/>
  <c r="H408" i="42"/>
  <c r="H407" i="42"/>
  <c r="H406" i="42"/>
  <c r="H405" i="42"/>
  <c r="H404" i="42"/>
  <c r="H403" i="42"/>
  <c r="H402" i="42"/>
  <c r="H401" i="42"/>
  <c r="H400" i="42"/>
  <c r="H399" i="42"/>
  <c r="H398" i="42"/>
  <c r="H397" i="42"/>
  <c r="H396" i="42"/>
  <c r="H395" i="42"/>
  <c r="H394" i="42"/>
  <c r="H393" i="42"/>
  <c r="H392" i="42"/>
  <c r="H391" i="42"/>
  <c r="A454" i="31"/>
  <c r="A455" i="31" s="1"/>
  <c r="A456" i="31" s="1"/>
  <c r="A457" i="31" s="1"/>
  <c r="A458" i="31" s="1"/>
  <c r="A459" i="31" s="1"/>
  <c r="A460" i="31" s="1"/>
  <c r="A461" i="31" s="1"/>
  <c r="A462" i="31" s="1"/>
  <c r="A463" i="31" s="1"/>
  <c r="A464" i="31" s="1"/>
  <c r="A465" i="31" s="1"/>
  <c r="A466" i="31" s="1"/>
  <c r="A467" i="31" s="1"/>
  <c r="A468" i="31" s="1"/>
  <c r="A469" i="31" s="1"/>
  <c r="A470" i="31" s="1"/>
  <c r="A471" i="31" s="1"/>
  <c r="A472" i="31" s="1"/>
  <c r="A473" i="31" s="1"/>
  <c r="A474" i="31" s="1"/>
  <c r="A475" i="31" s="1"/>
  <c r="A433" i="31"/>
  <c r="A434" i="31" s="1"/>
  <c r="A435" i="31" s="1"/>
  <c r="A437" i="31" s="1"/>
  <c r="A438" i="31" s="1"/>
  <c r="A439" i="31" s="1"/>
  <c r="A440" i="31" s="1"/>
  <c r="A441" i="31" s="1"/>
  <c r="A442" i="31" s="1"/>
  <c r="A263" i="31"/>
  <c r="A264" i="31" s="1"/>
  <c r="A265" i="31" s="1"/>
  <c r="A266" i="31" s="1"/>
  <c r="A267" i="31" s="1"/>
  <c r="A268" i="31" s="1"/>
  <c r="A269" i="31" s="1"/>
  <c r="A270" i="31" s="1"/>
  <c r="A271" i="31" s="1"/>
  <c r="A272" i="31" s="1"/>
  <c r="A273" i="31" s="1"/>
  <c r="A274" i="31" s="1"/>
  <c r="A275" i="31" s="1"/>
  <c r="A276" i="31" s="1"/>
  <c r="A277" i="31" s="1"/>
  <c r="A278" i="31" s="1"/>
  <c r="J360" i="65"/>
  <c r="E360" i="65"/>
  <c r="C360" i="65"/>
  <c r="B360" i="65"/>
  <c r="E311" i="38"/>
  <c r="I311" i="38" s="1"/>
  <c r="D360" i="65" s="1"/>
  <c r="H360" i="65" s="1"/>
  <c r="G360" i="65" s="1"/>
  <c r="C311" i="38"/>
  <c r="B311" i="38"/>
  <c r="J359" i="65"/>
  <c r="E359" i="65"/>
  <c r="C359" i="65"/>
  <c r="B359" i="65"/>
  <c r="E310" i="38"/>
  <c r="I310" i="38" s="1"/>
  <c r="D359" i="65" s="1"/>
  <c r="G359" i="65" s="1"/>
  <c r="C310" i="38"/>
  <c r="B310" i="38"/>
  <c r="F682" i="65"/>
  <c r="F685" i="65" s="1"/>
  <c r="F687" i="65" s="1"/>
  <c r="F513" i="65"/>
  <c r="F516" i="65" s="1"/>
  <c r="F377" i="31"/>
  <c r="C286" i="38"/>
  <c r="H137" i="41"/>
  <c r="H136" i="41"/>
  <c r="G187" i="41"/>
  <c r="F187" i="41"/>
  <c r="E187" i="41"/>
  <c r="D187" i="41"/>
  <c r="H30" i="42"/>
  <c r="H27" i="42"/>
  <c r="H24" i="42"/>
  <c r="H23" i="42"/>
  <c r="H22" i="42"/>
  <c r="H21" i="42"/>
  <c r="H19" i="42"/>
  <c r="H18" i="42"/>
  <c r="H17" i="42"/>
  <c r="H15" i="42"/>
  <c r="H14" i="42"/>
  <c r="H13" i="42"/>
  <c r="H11" i="42"/>
  <c r="H390" i="42"/>
  <c r="H389" i="42"/>
  <c r="H388" i="42"/>
  <c r="H387" i="42"/>
  <c r="H386" i="42"/>
  <c r="H385" i="42"/>
  <c r="H384" i="42"/>
  <c r="H383" i="42"/>
  <c r="H382" i="42"/>
  <c r="H381" i="42"/>
  <c r="H380" i="42"/>
  <c r="H379" i="42"/>
  <c r="H378" i="42"/>
  <c r="H377" i="42"/>
  <c r="H376" i="42"/>
  <c r="H375" i="42"/>
  <c r="H374" i="42"/>
  <c r="A1" i="47"/>
  <c r="A2" i="47"/>
  <c r="D8" i="47"/>
  <c r="E8" i="47"/>
  <c r="F8" i="47"/>
  <c r="G8" i="47"/>
  <c r="H8" i="47"/>
  <c r="I8" i="47"/>
  <c r="J8" i="47"/>
  <c r="D10" i="47"/>
  <c r="E10" i="47"/>
  <c r="F10" i="47"/>
  <c r="G10" i="47"/>
  <c r="H10" i="47"/>
  <c r="I10" i="47"/>
  <c r="J10" i="47"/>
  <c r="P34" i="47"/>
  <c r="E12" i="47"/>
  <c r="C6" i="49"/>
  <c r="Z11" i="49" s="1"/>
  <c r="T37" i="49"/>
  <c r="T22" i="49"/>
  <c r="B26" i="49"/>
  <c r="B27" i="49"/>
  <c r="B28" i="49"/>
  <c r="H22" i="49"/>
  <c r="L9" i="47" s="1"/>
  <c r="L17" i="47" s="1"/>
  <c r="L18" i="47" s="1"/>
  <c r="L19" i="47" s="1"/>
  <c r="L20" i="47" s="1"/>
  <c r="L21" i="47" s="1"/>
  <c r="L22" i="47" s="1"/>
  <c r="L23" i="47" s="1"/>
  <c r="L24" i="47" s="1"/>
  <c r="L25" i="47" s="1"/>
  <c r="L26" i="47" s="1"/>
  <c r="L27" i="47" s="1"/>
  <c r="L28" i="47" s="1"/>
  <c r="L29" i="47" s="1"/>
  <c r="L30" i="47" s="1"/>
  <c r="L31" i="47" s="1"/>
  <c r="L32" i="47" s="1"/>
  <c r="L33" i="47" s="1"/>
  <c r="L34" i="47" s="1"/>
  <c r="L35" i="47" s="1"/>
  <c r="L36" i="47" s="1"/>
  <c r="L37" i="47" s="1"/>
  <c r="L38" i="47" s="1"/>
  <c r="L39" i="47" s="1"/>
  <c r="L40" i="47" s="1"/>
  <c r="L41" i="47" s="1"/>
  <c r="L42" i="47" s="1"/>
  <c r="L43" i="47" s="1"/>
  <c r="L44" i="47" s="1"/>
  <c r="L45" i="47" s="1"/>
  <c r="L46" i="47" s="1"/>
  <c r="L47" i="47" s="1"/>
  <c r="L48" i="47" s="1"/>
  <c r="L49" i="47" s="1"/>
  <c r="L50" i="47" s="1"/>
  <c r="L51" i="47" s="1"/>
  <c r="L52" i="47" s="1"/>
  <c r="L53" i="47" s="1"/>
  <c r="L54" i="47" s="1"/>
  <c r="L55" i="47" s="1"/>
  <c r="L56" i="47" s="1"/>
  <c r="L57" i="47" s="1"/>
  <c r="L58" i="47" s="1"/>
  <c r="L59" i="47" s="1"/>
  <c r="L60" i="47" s="1"/>
  <c r="L61" i="47" s="1"/>
  <c r="L62" i="47" s="1"/>
  <c r="L63" i="47" s="1"/>
  <c r="L64" i="47" s="1"/>
  <c r="L65" i="47" s="1"/>
  <c r="L66" i="47" s="1"/>
  <c r="L67" i="47" s="1"/>
  <c r="L68" i="47" s="1"/>
  <c r="L69" i="47" s="1"/>
  <c r="L70" i="47" s="1"/>
  <c r="L71" i="47" s="1"/>
  <c r="L72" i="47" s="1"/>
  <c r="L73" i="47" s="1"/>
  <c r="L74" i="47" s="1"/>
  <c r="L75" i="47" s="1"/>
  <c r="L76" i="47" s="1"/>
  <c r="F22" i="49"/>
  <c r="D22" i="49"/>
  <c r="C22" i="49"/>
  <c r="N15" i="70"/>
  <c r="J39" i="50"/>
  <c r="N39" i="50" s="1"/>
  <c r="J38" i="50"/>
  <c r="N38" i="50" s="1"/>
  <c r="J37" i="50"/>
  <c r="N37" i="50" s="1"/>
  <c r="J36" i="50"/>
  <c r="N36" i="50" s="1"/>
  <c r="X22" i="49"/>
  <c r="T10" i="50"/>
  <c r="R10" i="50"/>
  <c r="J11" i="50"/>
  <c r="J358" i="65"/>
  <c r="E358" i="65"/>
  <c r="C358" i="65"/>
  <c r="B358" i="65"/>
  <c r="J357" i="65"/>
  <c r="E357" i="65"/>
  <c r="C357" i="65"/>
  <c r="B357" i="65"/>
  <c r="J356" i="65"/>
  <c r="E356" i="65"/>
  <c r="C356" i="65"/>
  <c r="B356" i="65"/>
  <c r="J355" i="65"/>
  <c r="E355" i="65"/>
  <c r="C355" i="65"/>
  <c r="B355" i="65"/>
  <c r="J354" i="65"/>
  <c r="E354" i="65"/>
  <c r="C354" i="65"/>
  <c r="B354" i="65"/>
  <c r="J353" i="65"/>
  <c r="E353" i="65"/>
  <c r="C353" i="65"/>
  <c r="B353" i="65"/>
  <c r="J352" i="65"/>
  <c r="E352" i="65"/>
  <c r="C352" i="65"/>
  <c r="B352" i="65"/>
  <c r="J235" i="31"/>
  <c r="E235" i="31"/>
  <c r="C235" i="31"/>
  <c r="B235" i="31"/>
  <c r="J234" i="31"/>
  <c r="E234" i="31"/>
  <c r="C234" i="31"/>
  <c r="B234" i="31"/>
  <c r="J233" i="31"/>
  <c r="E233" i="31"/>
  <c r="C233" i="31"/>
  <c r="B233" i="31"/>
  <c r="J232" i="31"/>
  <c r="E232" i="31"/>
  <c r="C232" i="31"/>
  <c r="B232" i="31"/>
  <c r="J231" i="31"/>
  <c r="E231" i="31"/>
  <c r="C231" i="31"/>
  <c r="B231" i="31"/>
  <c r="J230" i="31"/>
  <c r="E230" i="31"/>
  <c r="C230" i="31"/>
  <c r="B230" i="31"/>
  <c r="J229" i="31"/>
  <c r="E229" i="31"/>
  <c r="C229" i="31"/>
  <c r="B229" i="31"/>
  <c r="J228" i="31"/>
  <c r="E228" i="31"/>
  <c r="C228" i="31"/>
  <c r="B228" i="31"/>
  <c r="J227" i="31"/>
  <c r="E227" i="31"/>
  <c r="C227" i="31"/>
  <c r="B227" i="31"/>
  <c r="J226" i="31"/>
  <c r="E226" i="31"/>
  <c r="C226" i="31"/>
  <c r="B226" i="31"/>
  <c r="E309" i="38"/>
  <c r="I309" i="38" s="1"/>
  <c r="D358" i="65" s="1"/>
  <c r="G358" i="65" s="1"/>
  <c r="C309" i="38"/>
  <c r="B309" i="38"/>
  <c r="E308" i="38"/>
  <c r="I308" i="38" s="1"/>
  <c r="D357" i="65" s="1"/>
  <c r="G357" i="65" s="1"/>
  <c r="C308" i="38"/>
  <c r="B308" i="38"/>
  <c r="E307" i="38"/>
  <c r="I307" i="38" s="1"/>
  <c r="D356" i="65" s="1"/>
  <c r="H356" i="65" s="1"/>
  <c r="G356" i="65" s="1"/>
  <c r="C307" i="38"/>
  <c r="B307" i="38"/>
  <c r="E306" i="38"/>
  <c r="I306" i="38" s="1"/>
  <c r="D355" i="65" s="1"/>
  <c r="H355" i="65" s="1"/>
  <c r="G355" i="65" s="1"/>
  <c r="C306" i="38"/>
  <c r="B306" i="38"/>
  <c r="E305" i="38"/>
  <c r="C305" i="38"/>
  <c r="B305" i="38"/>
  <c r="E304" i="38"/>
  <c r="I304" i="38" s="1"/>
  <c r="D353" i="65" s="1"/>
  <c r="H353" i="65" s="1"/>
  <c r="G353" i="65" s="1"/>
  <c r="C304" i="38"/>
  <c r="B304" i="38"/>
  <c r="C303" i="38"/>
  <c r="B303" i="38"/>
  <c r="E196" i="37"/>
  <c r="I196" i="37" s="1"/>
  <c r="D235" i="31" s="1"/>
  <c r="H235" i="31" s="1"/>
  <c r="G235" i="31" s="1"/>
  <c r="C196" i="37"/>
  <c r="E195" i="37"/>
  <c r="I195" i="37" s="1"/>
  <c r="D234" i="31" s="1"/>
  <c r="H234" i="31" s="1"/>
  <c r="G234" i="31" s="1"/>
  <c r="C195" i="37"/>
  <c r="E194" i="37"/>
  <c r="I194" i="37" s="1"/>
  <c r="D233" i="31" s="1"/>
  <c r="H233" i="31" s="1"/>
  <c r="G233" i="31" s="1"/>
  <c r="C194" i="37"/>
  <c r="E193" i="37"/>
  <c r="I193" i="37" s="1"/>
  <c r="D232" i="31" s="1"/>
  <c r="G232" i="31" s="1"/>
  <c r="C193" i="37"/>
  <c r="E192" i="37"/>
  <c r="I192" i="37" s="1"/>
  <c r="D231" i="31" s="1"/>
  <c r="H231" i="31" s="1"/>
  <c r="G231" i="31" s="1"/>
  <c r="C192" i="37"/>
  <c r="C191" i="37"/>
  <c r="E190" i="37"/>
  <c r="I190" i="37" s="1"/>
  <c r="D229" i="31" s="1"/>
  <c r="G229" i="31" s="1"/>
  <c r="C190" i="37"/>
  <c r="E189" i="37"/>
  <c r="I189" i="37" s="1"/>
  <c r="D228" i="31" s="1"/>
  <c r="H228" i="31" s="1"/>
  <c r="G228" i="31" s="1"/>
  <c r="C189" i="37"/>
  <c r="E188" i="37"/>
  <c r="I188" i="37" s="1"/>
  <c r="D227" i="31" s="1"/>
  <c r="G227" i="31" s="1"/>
  <c r="C188" i="37"/>
  <c r="E187" i="37"/>
  <c r="I187" i="37" s="1"/>
  <c r="D226" i="31" s="1"/>
  <c r="C187" i="37"/>
  <c r="B35" i="49"/>
  <c r="B30" i="49"/>
  <c r="G14" i="12"/>
  <c r="E281" i="38"/>
  <c r="I281" i="38" s="1"/>
  <c r="D330" i="65" s="1"/>
  <c r="H330" i="65" s="1"/>
  <c r="G330" i="65" s="1"/>
  <c r="C301" i="38"/>
  <c r="J215" i="31"/>
  <c r="E215" i="31"/>
  <c r="C215" i="31"/>
  <c r="B215" i="31"/>
  <c r="E186" i="37"/>
  <c r="I186" i="37" s="1"/>
  <c r="D215" i="31" s="1"/>
  <c r="H215" i="31" s="1"/>
  <c r="G215" i="31" s="1"/>
  <c r="C186" i="37"/>
  <c r="J214" i="31"/>
  <c r="E214" i="31"/>
  <c r="C214" i="31"/>
  <c r="B214" i="31"/>
  <c r="J213" i="31"/>
  <c r="E213" i="31"/>
  <c r="C213" i="31"/>
  <c r="B213" i="31"/>
  <c r="J212" i="31"/>
  <c r="E212" i="31"/>
  <c r="C212" i="31"/>
  <c r="B212" i="31"/>
  <c r="J211" i="31"/>
  <c r="E211" i="31"/>
  <c r="C211" i="31"/>
  <c r="B211" i="31"/>
  <c r="I185" i="37"/>
  <c r="D214" i="31" s="1"/>
  <c r="H214" i="31" s="1"/>
  <c r="G214" i="31" s="1"/>
  <c r="C185" i="37"/>
  <c r="I184" i="37"/>
  <c r="D213" i="31" s="1"/>
  <c r="G213" i="31" s="1"/>
  <c r="C184" i="37"/>
  <c r="E183" i="37"/>
  <c r="I183" i="37" s="1"/>
  <c r="D212" i="31" s="1"/>
  <c r="H212" i="31" s="1"/>
  <c r="G212" i="31" s="1"/>
  <c r="C183" i="37"/>
  <c r="E182" i="37"/>
  <c r="I182" i="37" s="1"/>
  <c r="D211" i="31" s="1"/>
  <c r="H211" i="31" s="1"/>
  <c r="G211" i="31" s="1"/>
  <c r="C182" i="37"/>
  <c r="E290" i="38"/>
  <c r="I290" i="38" s="1"/>
  <c r="D339" i="65" s="1"/>
  <c r="H339" i="65" s="1"/>
  <c r="G339" i="65" s="1"/>
  <c r="J351" i="65"/>
  <c r="E351" i="65"/>
  <c r="C351" i="65"/>
  <c r="B351" i="65"/>
  <c r="J350" i="65"/>
  <c r="E350" i="65"/>
  <c r="C350" i="65"/>
  <c r="B350" i="65"/>
  <c r="J349" i="65"/>
  <c r="E349" i="65"/>
  <c r="C349" i="65"/>
  <c r="B349" i="65"/>
  <c r="J348" i="65"/>
  <c r="E348" i="65"/>
  <c r="C348" i="65"/>
  <c r="B348" i="65"/>
  <c r="J347" i="65"/>
  <c r="E347" i="65"/>
  <c r="C347" i="65"/>
  <c r="B347" i="65"/>
  <c r="C302" i="38"/>
  <c r="B302" i="38"/>
  <c r="E301" i="38"/>
  <c r="I301" i="38" s="1"/>
  <c r="D350" i="65" s="1"/>
  <c r="H350" i="65" s="1"/>
  <c r="G350" i="65" s="1"/>
  <c r="B301" i="38"/>
  <c r="E300" i="38"/>
  <c r="I300" i="38" s="1"/>
  <c r="D349" i="65" s="1"/>
  <c r="H349" i="65" s="1"/>
  <c r="G349" i="65" s="1"/>
  <c r="C300" i="38"/>
  <c r="B300" i="38"/>
  <c r="E299" i="38"/>
  <c r="I299" i="38" s="1"/>
  <c r="D348" i="65" s="1"/>
  <c r="H348" i="65" s="1"/>
  <c r="G348" i="65" s="1"/>
  <c r="C299" i="38"/>
  <c r="B299" i="38"/>
  <c r="E298" i="38"/>
  <c r="I298" i="38" s="1"/>
  <c r="D347" i="65" s="1"/>
  <c r="H347" i="65" s="1"/>
  <c r="G347" i="65" s="1"/>
  <c r="C298" i="38"/>
  <c r="B298" i="38"/>
  <c r="J210" i="31"/>
  <c r="E210" i="31"/>
  <c r="C210" i="31"/>
  <c r="B210" i="31"/>
  <c r="J209" i="31"/>
  <c r="E209" i="31"/>
  <c r="C209" i="31"/>
  <c r="B209" i="31"/>
  <c r="E181" i="37"/>
  <c r="I181" i="37" s="1"/>
  <c r="D210" i="31" s="1"/>
  <c r="H210" i="31" s="1"/>
  <c r="G210" i="31" s="1"/>
  <c r="C181" i="37"/>
  <c r="E180" i="37"/>
  <c r="I180" i="37" s="1"/>
  <c r="D209" i="31" s="1"/>
  <c r="H209" i="31" s="1"/>
  <c r="G209" i="31" s="1"/>
  <c r="C180" i="37"/>
  <c r="X21" i="49"/>
  <c r="Z21" i="49" s="1"/>
  <c r="T21" i="49"/>
  <c r="H21" i="49"/>
  <c r="K9" i="47" s="1"/>
  <c r="F21" i="49"/>
  <c r="D21" i="49"/>
  <c r="C21" i="49"/>
  <c r="H135" i="41"/>
  <c r="H134" i="41"/>
  <c r="H133" i="41"/>
  <c r="H132" i="41"/>
  <c r="H131" i="41"/>
  <c r="H130" i="41"/>
  <c r="H129" i="41"/>
  <c r="H128" i="41"/>
  <c r="H127" i="41"/>
  <c r="H126" i="41"/>
  <c r="H125" i="41"/>
  <c r="H124" i="41"/>
  <c r="H123" i="41"/>
  <c r="H122" i="41"/>
  <c r="H373" i="42"/>
  <c r="H372" i="42"/>
  <c r="H371" i="42"/>
  <c r="H370" i="42"/>
  <c r="H369" i="42"/>
  <c r="H368" i="42"/>
  <c r="H367" i="42"/>
  <c r="H366" i="42"/>
  <c r="H365" i="42"/>
  <c r="H364" i="42"/>
  <c r="H363" i="42"/>
  <c r="H362" i="42"/>
  <c r="H361" i="42"/>
  <c r="H353" i="42"/>
  <c r="H352" i="42"/>
  <c r="H351" i="42"/>
  <c r="H350" i="42"/>
  <c r="H349" i="42"/>
  <c r="H348" i="42"/>
  <c r="H347" i="42"/>
  <c r="H346" i="42"/>
  <c r="E149" i="37"/>
  <c r="I149" i="37" s="1"/>
  <c r="D178" i="31" s="1"/>
  <c r="H178" i="31" s="1"/>
  <c r="G178" i="31" s="1"/>
  <c r="E241" i="38"/>
  <c r="I241" i="38" s="1"/>
  <c r="D280" i="65" s="1"/>
  <c r="H280" i="65" s="1"/>
  <c r="G280" i="65" s="1"/>
  <c r="E166" i="37"/>
  <c r="I166" i="37" s="1"/>
  <c r="D195" i="31" s="1"/>
  <c r="H195" i="31" s="1"/>
  <c r="G195" i="31" s="1"/>
  <c r="L41" i="49"/>
  <c r="H121" i="41"/>
  <c r="H120" i="41"/>
  <c r="H119" i="41"/>
  <c r="H118" i="41"/>
  <c r="H117" i="41"/>
  <c r="H116" i="41"/>
  <c r="H115" i="41"/>
  <c r="H114" i="41"/>
  <c r="H113" i="41"/>
  <c r="H112" i="41"/>
  <c r="H345" i="42"/>
  <c r="H344" i="42"/>
  <c r="H343" i="42"/>
  <c r="H342" i="42"/>
  <c r="H341" i="42"/>
  <c r="H340" i="42"/>
  <c r="H339" i="42"/>
  <c r="H338" i="42"/>
  <c r="H337" i="42"/>
  <c r="H336" i="42"/>
  <c r="H335" i="42"/>
  <c r="H334" i="42"/>
  <c r="H333" i="42"/>
  <c r="H332" i="42"/>
  <c r="H331" i="42"/>
  <c r="H330" i="42"/>
  <c r="H329" i="42"/>
  <c r="H328" i="42"/>
  <c r="H327" i="42"/>
  <c r="H326" i="42"/>
  <c r="H325" i="42"/>
  <c r="H324" i="42"/>
  <c r="H323" i="42"/>
  <c r="H322" i="42"/>
  <c r="H321" i="42"/>
  <c r="H320" i="42"/>
  <c r="H319" i="42"/>
  <c r="H318" i="42"/>
  <c r="H317" i="42"/>
  <c r="H316" i="42"/>
  <c r="H315" i="42"/>
  <c r="H314" i="42"/>
  <c r="H313" i="42"/>
  <c r="H312" i="42"/>
  <c r="H311" i="42"/>
  <c r="H310" i="42"/>
  <c r="H309" i="42"/>
  <c r="H308" i="42"/>
  <c r="H307" i="42"/>
  <c r="H306" i="42"/>
  <c r="H305" i="42"/>
  <c r="H304" i="42"/>
  <c r="H303" i="42"/>
  <c r="H302" i="42"/>
  <c r="H301" i="42"/>
  <c r="H300" i="42"/>
  <c r="H299" i="42"/>
  <c r="H298" i="42"/>
  <c r="H297" i="42"/>
  <c r="J346" i="65"/>
  <c r="E346" i="65"/>
  <c r="C346" i="65"/>
  <c r="B346" i="65"/>
  <c r="J345" i="65"/>
  <c r="E345" i="65"/>
  <c r="C345" i="65"/>
  <c r="B345" i="65"/>
  <c r="J344" i="65"/>
  <c r="E344" i="65"/>
  <c r="C344" i="65"/>
  <c r="B344" i="65"/>
  <c r="J343" i="65"/>
  <c r="E343" i="65"/>
  <c r="C343" i="65"/>
  <c r="B343" i="65"/>
  <c r="E297" i="38"/>
  <c r="I297" i="38" s="1"/>
  <c r="D346" i="65" s="1"/>
  <c r="H346" i="65" s="1"/>
  <c r="G346" i="65" s="1"/>
  <c r="C297" i="38"/>
  <c r="B297" i="38"/>
  <c r="E296" i="38"/>
  <c r="I296" i="38" s="1"/>
  <c r="D345" i="65" s="1"/>
  <c r="H345" i="65" s="1"/>
  <c r="G345" i="65" s="1"/>
  <c r="C296" i="38"/>
  <c r="B296" i="38"/>
  <c r="E295" i="38"/>
  <c r="I295" i="38" s="1"/>
  <c r="D344" i="65" s="1"/>
  <c r="H344" i="65" s="1"/>
  <c r="G344" i="65" s="1"/>
  <c r="C295" i="38"/>
  <c r="B295" i="38"/>
  <c r="I294" i="38"/>
  <c r="D343" i="65" s="1"/>
  <c r="H343" i="65" s="1"/>
  <c r="G343" i="65" s="1"/>
  <c r="C294" i="38"/>
  <c r="B294" i="38"/>
  <c r="J342" i="65"/>
  <c r="E342" i="65"/>
  <c r="C342" i="65"/>
  <c r="B342" i="65"/>
  <c r="J341" i="65"/>
  <c r="E341" i="65"/>
  <c r="C341" i="65"/>
  <c r="B341" i="65"/>
  <c r="J340" i="65"/>
  <c r="E340" i="65"/>
  <c r="C340" i="65"/>
  <c r="B340" i="65"/>
  <c r="J339" i="65"/>
  <c r="E339" i="65"/>
  <c r="C339" i="65"/>
  <c r="B339" i="65"/>
  <c r="J338" i="65"/>
  <c r="E338" i="65"/>
  <c r="C338" i="65"/>
  <c r="B338" i="65"/>
  <c r="C293" i="38"/>
  <c r="B293" i="38"/>
  <c r="E292" i="38"/>
  <c r="I292" i="38" s="1"/>
  <c r="D341" i="65" s="1"/>
  <c r="H341" i="65" s="1"/>
  <c r="G341" i="65" s="1"/>
  <c r="C292" i="38"/>
  <c r="B292" i="38"/>
  <c r="E291" i="38"/>
  <c r="I291" i="38" s="1"/>
  <c r="D340" i="65" s="1"/>
  <c r="H340" i="65" s="1"/>
  <c r="G340" i="65" s="1"/>
  <c r="C291" i="38"/>
  <c r="B291" i="38"/>
  <c r="C290" i="38"/>
  <c r="B290" i="38"/>
  <c r="E289" i="38"/>
  <c r="I289" i="38" s="1"/>
  <c r="D338" i="65" s="1"/>
  <c r="H338" i="65" s="1"/>
  <c r="G338" i="65" s="1"/>
  <c r="C289" i="38"/>
  <c r="B289" i="38"/>
  <c r="J208" i="31"/>
  <c r="E208" i="31"/>
  <c r="C208" i="31"/>
  <c r="B208" i="31"/>
  <c r="J207" i="31"/>
  <c r="E207" i="31"/>
  <c r="C207" i="31"/>
  <c r="B207" i="31"/>
  <c r="J206" i="31"/>
  <c r="E206" i="31"/>
  <c r="C206" i="31"/>
  <c r="B206" i="31"/>
  <c r="J205" i="31"/>
  <c r="E205" i="31"/>
  <c r="C205" i="31"/>
  <c r="B205" i="31"/>
  <c r="J204" i="31"/>
  <c r="E204" i="31"/>
  <c r="C204" i="31"/>
  <c r="B204" i="31"/>
  <c r="J203" i="31"/>
  <c r="E203" i="31"/>
  <c r="C203" i="31"/>
  <c r="B203" i="31"/>
  <c r="J202" i="31"/>
  <c r="E202" i="31"/>
  <c r="C202" i="31"/>
  <c r="B202" i="31"/>
  <c r="E179" i="37"/>
  <c r="I179" i="37" s="1"/>
  <c r="D208" i="31" s="1"/>
  <c r="H208" i="31" s="1"/>
  <c r="G208" i="31" s="1"/>
  <c r="C179" i="37"/>
  <c r="B179" i="37"/>
  <c r="E178" i="37"/>
  <c r="I178" i="37" s="1"/>
  <c r="D207" i="31" s="1"/>
  <c r="C178" i="37"/>
  <c r="B178" i="37"/>
  <c r="E177" i="37"/>
  <c r="I177" i="37" s="1"/>
  <c r="D206" i="31" s="1"/>
  <c r="H206" i="31" s="1"/>
  <c r="G206" i="31" s="1"/>
  <c r="C177" i="37"/>
  <c r="B177" i="37"/>
  <c r="I176" i="37"/>
  <c r="D205" i="31" s="1"/>
  <c r="G205" i="31" s="1"/>
  <c r="C176" i="37"/>
  <c r="B176" i="37"/>
  <c r="E175" i="37"/>
  <c r="I175" i="37" s="1"/>
  <c r="D204" i="31" s="1"/>
  <c r="H204" i="31" s="1"/>
  <c r="G204" i="31" s="1"/>
  <c r="C175" i="37"/>
  <c r="B175" i="37"/>
  <c r="E174" i="37"/>
  <c r="I174" i="37" s="1"/>
  <c r="D203" i="31" s="1"/>
  <c r="H203" i="31" s="1"/>
  <c r="G203" i="31" s="1"/>
  <c r="C174" i="37"/>
  <c r="B174" i="37"/>
  <c r="E173" i="37"/>
  <c r="I173" i="37" s="1"/>
  <c r="D202" i="31" s="1"/>
  <c r="H202" i="31" s="1"/>
  <c r="G202" i="31" s="1"/>
  <c r="C173" i="37"/>
  <c r="B173" i="37"/>
  <c r="D15" i="46"/>
  <c r="D16" i="46"/>
  <c r="D8" i="46"/>
  <c r="D17" i="46"/>
  <c r="X2" i="81"/>
  <c r="J330" i="65"/>
  <c r="E330" i="65"/>
  <c r="C330" i="65"/>
  <c r="B330" i="65"/>
  <c r="C281" i="38"/>
  <c r="B281" i="38"/>
  <c r="E182" i="38"/>
  <c r="I182" i="38" s="1"/>
  <c r="D211" i="65" s="1"/>
  <c r="H211" i="65" s="1"/>
  <c r="G211" i="65" s="1"/>
  <c r="A294" i="31"/>
  <c r="E206" i="38"/>
  <c r="I206" i="38" s="1"/>
  <c r="D235" i="65" s="1"/>
  <c r="H235" i="65" s="1"/>
  <c r="G235" i="65" s="1"/>
  <c r="X39" i="49"/>
  <c r="X38" i="49"/>
  <c r="X37" i="49"/>
  <c r="X36" i="49"/>
  <c r="X33" i="49"/>
  <c r="Z33" i="49" s="1"/>
  <c r="X32" i="49"/>
  <c r="X31" i="49"/>
  <c r="X28" i="49"/>
  <c r="X27" i="49"/>
  <c r="X19" i="49"/>
  <c r="X18" i="49"/>
  <c r="X17" i="49"/>
  <c r="X16" i="49"/>
  <c r="Z16" i="49" s="1"/>
  <c r="X15" i="49"/>
  <c r="X14" i="49"/>
  <c r="T33" i="49"/>
  <c r="T32" i="49"/>
  <c r="T31" i="49"/>
  <c r="T20" i="49"/>
  <c r="T19" i="49"/>
  <c r="T18" i="49"/>
  <c r="T17" i="49"/>
  <c r="T16" i="49"/>
  <c r="T15" i="49"/>
  <c r="T14" i="49"/>
  <c r="E268" i="38"/>
  <c r="I268" i="38" s="1"/>
  <c r="D317" i="65" s="1"/>
  <c r="H317" i="65" s="1"/>
  <c r="G317" i="65" s="1"/>
  <c r="A589" i="65"/>
  <c r="A590" i="65" s="1"/>
  <c r="A591" i="65" s="1"/>
  <c r="A592" i="65" s="1"/>
  <c r="A593" i="65" s="1"/>
  <c r="A594" i="65" s="1"/>
  <c r="A595" i="65" s="1"/>
  <c r="A596" i="65" s="1"/>
  <c r="A597" i="65" s="1"/>
  <c r="A598" i="65" s="1"/>
  <c r="A599" i="65" s="1"/>
  <c r="A600" i="65" s="1"/>
  <c r="A601" i="65" s="1"/>
  <c r="A602" i="65" s="1"/>
  <c r="A603" i="65" s="1"/>
  <c r="A604" i="65" s="1"/>
  <c r="A605" i="65" s="1"/>
  <c r="A606" i="65" s="1"/>
  <c r="A607" i="65" s="1"/>
  <c r="A608" i="65" s="1"/>
  <c r="A617" i="65" s="1"/>
  <c r="A618" i="65" s="1"/>
  <c r="A619" i="65" s="1"/>
  <c r="A620" i="65" s="1"/>
  <c r="E326" i="65"/>
  <c r="J337" i="65"/>
  <c r="E337" i="65"/>
  <c r="C337" i="65"/>
  <c r="B337" i="65"/>
  <c r="J336" i="65"/>
  <c r="E336" i="65"/>
  <c r="C336" i="65"/>
  <c r="B336" i="65"/>
  <c r="J335" i="65"/>
  <c r="E335" i="65"/>
  <c r="C335" i="65"/>
  <c r="B335" i="65"/>
  <c r="J334" i="65"/>
  <c r="E334" i="65"/>
  <c r="C334" i="65"/>
  <c r="B334" i="65"/>
  <c r="J333" i="65"/>
  <c r="E333" i="65"/>
  <c r="C333" i="65"/>
  <c r="B333" i="65"/>
  <c r="J332" i="65"/>
  <c r="E332" i="65"/>
  <c r="C332" i="65"/>
  <c r="B332" i="65"/>
  <c r="J331" i="65"/>
  <c r="E331" i="65"/>
  <c r="C331" i="65"/>
  <c r="B331" i="65"/>
  <c r="J329" i="65"/>
  <c r="E329" i="65"/>
  <c r="C329" i="65"/>
  <c r="B329" i="65"/>
  <c r="J328" i="65"/>
  <c r="E328" i="65"/>
  <c r="C328" i="65"/>
  <c r="B328" i="65"/>
  <c r="E288" i="38"/>
  <c r="I288" i="38" s="1"/>
  <c r="D337" i="65" s="1"/>
  <c r="H337" i="65" s="1"/>
  <c r="G337" i="65" s="1"/>
  <c r="C288" i="38"/>
  <c r="B288" i="38"/>
  <c r="E287" i="38"/>
  <c r="I287" i="38" s="1"/>
  <c r="D336" i="65" s="1"/>
  <c r="H336" i="65" s="1"/>
  <c r="G336" i="65" s="1"/>
  <c r="C287" i="38"/>
  <c r="B287" i="38"/>
  <c r="E286" i="38"/>
  <c r="I286" i="38" s="1"/>
  <c r="D335" i="65" s="1"/>
  <c r="H335" i="65" s="1"/>
  <c r="G335" i="65" s="1"/>
  <c r="B286" i="38"/>
  <c r="E285" i="38"/>
  <c r="I285" i="38" s="1"/>
  <c r="D334" i="65" s="1"/>
  <c r="H334" i="65" s="1"/>
  <c r="G334" i="65" s="1"/>
  <c r="C285" i="38"/>
  <c r="B285" i="38"/>
  <c r="E284" i="38"/>
  <c r="I284" i="38" s="1"/>
  <c r="D333" i="65" s="1"/>
  <c r="H333" i="65" s="1"/>
  <c r="G333" i="65" s="1"/>
  <c r="C284" i="38"/>
  <c r="B284" i="38"/>
  <c r="E283" i="38"/>
  <c r="I283" i="38" s="1"/>
  <c r="D332" i="65" s="1"/>
  <c r="H332" i="65" s="1"/>
  <c r="G332" i="65" s="1"/>
  <c r="C283" i="38"/>
  <c r="B283" i="38"/>
  <c r="E282" i="38"/>
  <c r="I282" i="38" s="1"/>
  <c r="D331" i="65" s="1"/>
  <c r="H331" i="65" s="1"/>
  <c r="G331" i="65" s="1"/>
  <c r="C282" i="38"/>
  <c r="B282" i="38"/>
  <c r="E280" i="38"/>
  <c r="I280" i="38" s="1"/>
  <c r="D329" i="65" s="1"/>
  <c r="H329" i="65" s="1"/>
  <c r="G329" i="65" s="1"/>
  <c r="C280" i="38"/>
  <c r="B280" i="38"/>
  <c r="E279" i="38"/>
  <c r="I279" i="38" s="1"/>
  <c r="D328" i="65" s="1"/>
  <c r="H328" i="65" s="1"/>
  <c r="G328" i="65" s="1"/>
  <c r="C279" i="38"/>
  <c r="B279" i="38"/>
  <c r="E252" i="38"/>
  <c r="I252" i="38" s="1"/>
  <c r="D291" i="65" s="1"/>
  <c r="H291" i="65" s="1"/>
  <c r="G291" i="65" s="1"/>
  <c r="E195" i="38"/>
  <c r="I195" i="38" s="1"/>
  <c r="D224" i="65" s="1"/>
  <c r="H224" i="65" s="1"/>
  <c r="G224" i="65" s="1"/>
  <c r="E190" i="38"/>
  <c r="I190" i="38" s="1"/>
  <c r="D219" i="65" s="1"/>
  <c r="H219" i="65" s="1"/>
  <c r="G219" i="65" s="1"/>
  <c r="E189" i="38"/>
  <c r="I189" i="38" s="1"/>
  <c r="D218" i="65" s="1"/>
  <c r="H218" i="65" s="1"/>
  <c r="G218" i="65" s="1"/>
  <c r="E187" i="38"/>
  <c r="I187" i="38" s="1"/>
  <c r="D216" i="65" s="1"/>
  <c r="H216" i="65" s="1"/>
  <c r="G216" i="65" s="1"/>
  <c r="E178" i="38"/>
  <c r="I178" i="38" s="1"/>
  <c r="D207" i="65" s="1"/>
  <c r="H207" i="65" s="1"/>
  <c r="G207" i="65" s="1"/>
  <c r="E170" i="37"/>
  <c r="I170" i="37" s="1"/>
  <c r="D199" i="31" s="1"/>
  <c r="H199" i="31" s="1"/>
  <c r="G199" i="31" s="1"/>
  <c r="E169" i="37"/>
  <c r="I169" i="37" s="1"/>
  <c r="D198" i="31" s="1"/>
  <c r="H198" i="31" s="1"/>
  <c r="G198" i="31" s="1"/>
  <c r="E168" i="37"/>
  <c r="I168" i="37" s="1"/>
  <c r="D197" i="31" s="1"/>
  <c r="H197" i="31" s="1"/>
  <c r="G197" i="31" s="1"/>
  <c r="E167" i="37"/>
  <c r="I167" i="37" s="1"/>
  <c r="D196" i="31" s="1"/>
  <c r="H196" i="31" s="1"/>
  <c r="G196" i="31" s="1"/>
  <c r="J327" i="65"/>
  <c r="E327" i="65"/>
  <c r="C327" i="65"/>
  <c r="B327" i="65"/>
  <c r="J326" i="65"/>
  <c r="C326" i="65"/>
  <c r="B326" i="65"/>
  <c r="J325" i="65"/>
  <c r="E325" i="65"/>
  <c r="C325" i="65"/>
  <c r="B325" i="65"/>
  <c r="J324" i="65"/>
  <c r="E324" i="65"/>
  <c r="C324" i="65"/>
  <c r="B324" i="65"/>
  <c r="J323" i="65"/>
  <c r="E323" i="65"/>
  <c r="C323" i="65"/>
  <c r="B323" i="65"/>
  <c r="J322" i="65"/>
  <c r="E322" i="65"/>
  <c r="C322" i="65"/>
  <c r="B322" i="65"/>
  <c r="J321" i="65"/>
  <c r="E321" i="65"/>
  <c r="C321" i="65"/>
  <c r="B321" i="65"/>
  <c r="J320" i="65"/>
  <c r="E320" i="65"/>
  <c r="C320" i="65"/>
  <c r="B320" i="65"/>
  <c r="E278" i="38"/>
  <c r="I278" i="38" s="1"/>
  <c r="D327" i="65" s="1"/>
  <c r="H327" i="65" s="1"/>
  <c r="G327" i="65" s="1"/>
  <c r="C278" i="38"/>
  <c r="B278" i="38"/>
  <c r="E277" i="38"/>
  <c r="I277" i="38" s="1"/>
  <c r="D326" i="65" s="1"/>
  <c r="H326" i="65" s="1"/>
  <c r="G326" i="65" s="1"/>
  <c r="C277" i="38"/>
  <c r="B277" i="38"/>
  <c r="E276" i="38"/>
  <c r="I276" i="38" s="1"/>
  <c r="D325" i="65" s="1"/>
  <c r="H325" i="65" s="1"/>
  <c r="G325" i="65" s="1"/>
  <c r="C276" i="38"/>
  <c r="B276" i="38"/>
  <c r="E275" i="38"/>
  <c r="I275" i="38" s="1"/>
  <c r="D324" i="65" s="1"/>
  <c r="H324" i="65" s="1"/>
  <c r="G324" i="65" s="1"/>
  <c r="C275" i="38"/>
  <c r="B275" i="38"/>
  <c r="E274" i="38"/>
  <c r="I274" i="38" s="1"/>
  <c r="D323" i="65" s="1"/>
  <c r="H323" i="65" s="1"/>
  <c r="G323" i="65" s="1"/>
  <c r="C274" i="38"/>
  <c r="B274" i="38"/>
  <c r="E273" i="38"/>
  <c r="I273" i="38" s="1"/>
  <c r="D322" i="65" s="1"/>
  <c r="H322" i="65" s="1"/>
  <c r="G322" i="65" s="1"/>
  <c r="C273" i="38"/>
  <c r="B273" i="38"/>
  <c r="E272" i="38"/>
  <c r="I272" i="38" s="1"/>
  <c r="D321" i="65" s="1"/>
  <c r="H321" i="65" s="1"/>
  <c r="G321" i="65" s="1"/>
  <c r="C272" i="38"/>
  <c r="B272" i="38"/>
  <c r="E271" i="38"/>
  <c r="I271" i="38" s="1"/>
  <c r="D320" i="65" s="1"/>
  <c r="H320" i="65" s="1"/>
  <c r="G320" i="65" s="1"/>
  <c r="C271" i="38"/>
  <c r="B271" i="38"/>
  <c r="E185" i="38"/>
  <c r="I185" i="38" s="1"/>
  <c r="D214" i="65" s="1"/>
  <c r="H214" i="65" s="1"/>
  <c r="G214" i="65" s="1"/>
  <c r="J201" i="31"/>
  <c r="E201" i="31"/>
  <c r="C201" i="31"/>
  <c r="B201" i="31"/>
  <c r="J200" i="31"/>
  <c r="E200" i="31"/>
  <c r="C200" i="31"/>
  <c r="B200" i="31"/>
  <c r="E172" i="37"/>
  <c r="I172" i="37" s="1"/>
  <c r="D201" i="31" s="1"/>
  <c r="H201" i="31" s="1"/>
  <c r="G201" i="31" s="1"/>
  <c r="C172" i="37"/>
  <c r="B172" i="37"/>
  <c r="E171" i="37"/>
  <c r="I171" i="37" s="1"/>
  <c r="D200" i="31" s="1"/>
  <c r="H200" i="31" s="1"/>
  <c r="G200" i="31" s="1"/>
  <c r="C171" i="37"/>
  <c r="B171" i="37"/>
  <c r="D682" i="65"/>
  <c r="D685" i="65" s="1"/>
  <c r="G467" i="42"/>
  <c r="F467" i="42"/>
  <c r="E467" i="42"/>
  <c r="D467" i="42"/>
  <c r="H465" i="42"/>
  <c r="B39" i="49"/>
  <c r="B38" i="49"/>
  <c r="B37" i="49"/>
  <c r="B36" i="49"/>
  <c r="B33" i="49"/>
  <c r="B32" i="49"/>
  <c r="B31" i="49"/>
  <c r="C38" i="49"/>
  <c r="X20" i="49"/>
  <c r="H111" i="41"/>
  <c r="H110" i="41"/>
  <c r="H109" i="41"/>
  <c r="H108" i="41"/>
  <c r="H107" i="41"/>
  <c r="H106" i="41"/>
  <c r="H105" i="41"/>
  <c r="H104" i="41"/>
  <c r="H296" i="42"/>
  <c r="H295" i="42"/>
  <c r="H294" i="42"/>
  <c r="H293" i="42"/>
  <c r="H292" i="42"/>
  <c r="H291" i="42"/>
  <c r="H290" i="42"/>
  <c r="H289" i="42"/>
  <c r="H288" i="42"/>
  <c r="H287" i="42"/>
  <c r="H286" i="42"/>
  <c r="H285" i="42"/>
  <c r="H284" i="42"/>
  <c r="H276" i="42"/>
  <c r="H275" i="42"/>
  <c r="H274" i="42"/>
  <c r="H273" i="42"/>
  <c r="H272" i="42"/>
  <c r="H271" i="42"/>
  <c r="H270" i="42"/>
  <c r="H269" i="42"/>
  <c r="H268" i="42"/>
  <c r="E227" i="38"/>
  <c r="I227" i="38" s="1"/>
  <c r="D266" i="65" s="1"/>
  <c r="G266" i="65" s="1"/>
  <c r="A2" i="71"/>
  <c r="A2" i="69"/>
  <c r="A29" i="69" s="1"/>
  <c r="F7" i="69"/>
  <c r="G7" i="69"/>
  <c r="G11" i="69" s="1"/>
  <c r="F12" i="84" s="1"/>
  <c r="B17" i="69"/>
  <c r="B18" i="69" s="1"/>
  <c r="B19" i="69" s="1"/>
  <c r="B20" i="69" s="1"/>
  <c r="F18" i="69"/>
  <c r="G18" i="69"/>
  <c r="G20" i="69" s="1"/>
  <c r="F20" i="69"/>
  <c r="B35" i="69"/>
  <c r="B36" i="69" s="1"/>
  <c r="B37" i="69" s="1"/>
  <c r="B38" i="69" s="1"/>
  <c r="F36" i="69"/>
  <c r="F38" i="69"/>
  <c r="G36" i="69"/>
  <c r="G38" i="69"/>
  <c r="A2" i="70"/>
  <c r="A1" i="70"/>
  <c r="A1" i="49"/>
  <c r="A2" i="49"/>
  <c r="B13" i="49"/>
  <c r="C14" i="49"/>
  <c r="D14" i="49"/>
  <c r="F14" i="49"/>
  <c r="H14" i="49"/>
  <c r="D9" i="47" s="1"/>
  <c r="C15" i="49"/>
  <c r="D15" i="49"/>
  <c r="F15" i="49"/>
  <c r="H15" i="49"/>
  <c r="C16" i="49"/>
  <c r="D16" i="49"/>
  <c r="F16" i="49"/>
  <c r="H16" i="49"/>
  <c r="F9" i="47" s="1"/>
  <c r="F30" i="47" s="1"/>
  <c r="C17" i="49"/>
  <c r="D17" i="49"/>
  <c r="F17" i="49"/>
  <c r="H17" i="49"/>
  <c r="Z17" i="49" s="1"/>
  <c r="C18" i="49"/>
  <c r="D18" i="49"/>
  <c r="F18" i="49"/>
  <c r="H18" i="49"/>
  <c r="H9" i="47" s="1"/>
  <c r="H37" i="47" s="1"/>
  <c r="C19" i="49"/>
  <c r="D19" i="49"/>
  <c r="F19" i="49"/>
  <c r="H19" i="49"/>
  <c r="C20" i="49"/>
  <c r="D20" i="49"/>
  <c r="F20" i="49"/>
  <c r="H20" i="49"/>
  <c r="J9" i="47" s="1"/>
  <c r="C27" i="49"/>
  <c r="D27" i="49"/>
  <c r="F27" i="49"/>
  <c r="H27" i="49"/>
  <c r="C28" i="49"/>
  <c r="D28" i="49"/>
  <c r="F28" i="49"/>
  <c r="H28" i="49"/>
  <c r="C31" i="49"/>
  <c r="D31" i="49"/>
  <c r="F31" i="49"/>
  <c r="H31" i="49"/>
  <c r="O9" i="47" s="1"/>
  <c r="C32" i="49"/>
  <c r="D32" i="49"/>
  <c r="F32" i="49"/>
  <c r="H32" i="49"/>
  <c r="C33" i="49"/>
  <c r="D33" i="49"/>
  <c r="F33" i="49"/>
  <c r="H33" i="49"/>
  <c r="Q9" i="47" s="1"/>
  <c r="C36" i="49"/>
  <c r="D36" i="49"/>
  <c r="F36" i="49"/>
  <c r="H36" i="49"/>
  <c r="C37" i="49"/>
  <c r="D37" i="49"/>
  <c r="F37" i="49"/>
  <c r="H37" i="49"/>
  <c r="R9" i="47" s="1"/>
  <c r="R17" i="47" s="1"/>
  <c r="R18" i="47" s="1"/>
  <c r="R19" i="47" s="1"/>
  <c r="R20" i="47" s="1"/>
  <c r="R21" i="47" s="1"/>
  <c r="R22" i="47" s="1"/>
  <c r="R23" i="47" s="1"/>
  <c r="R24" i="47" s="1"/>
  <c r="R25" i="47" s="1"/>
  <c r="R26" i="47" s="1"/>
  <c r="R27" i="47" s="1"/>
  <c r="R28" i="47" s="1"/>
  <c r="R29" i="47" s="1"/>
  <c r="R30" i="47" s="1"/>
  <c r="R31" i="47" s="1"/>
  <c r="R32" i="47" s="1"/>
  <c r="R33" i="47" s="1"/>
  <c r="R34" i="47" s="1"/>
  <c r="R35" i="47" s="1"/>
  <c r="R36" i="47" s="1"/>
  <c r="R37" i="47" s="1"/>
  <c r="R38" i="47" s="1"/>
  <c r="R39" i="47" s="1"/>
  <c r="R40" i="47" s="1"/>
  <c r="R41" i="47" s="1"/>
  <c r="R42" i="47" s="1"/>
  <c r="R43" i="47" s="1"/>
  <c r="R44" i="47" s="1"/>
  <c r="R45" i="47" s="1"/>
  <c r="R46" i="47" s="1"/>
  <c r="D38" i="49"/>
  <c r="F38" i="49"/>
  <c r="H38" i="49"/>
  <c r="Z38" i="49" s="1"/>
  <c r="C39" i="49"/>
  <c r="D39" i="49"/>
  <c r="F39" i="49"/>
  <c r="H39" i="49"/>
  <c r="J41" i="49"/>
  <c r="N41" i="49"/>
  <c r="A2" i="50"/>
  <c r="J27" i="50"/>
  <c r="N27" i="50" s="1"/>
  <c r="J28" i="50"/>
  <c r="N28" i="50" s="1"/>
  <c r="H41" i="50"/>
  <c r="F15" i="46"/>
  <c r="F16" i="46"/>
  <c r="B17" i="46"/>
  <c r="D24" i="46"/>
  <c r="F24" i="46"/>
  <c r="AM2" i="81"/>
  <c r="A7" i="81"/>
  <c r="A8" i="81" s="1"/>
  <c r="A9" i="81" s="1"/>
  <c r="A10" i="81" s="1"/>
  <c r="A11" i="81" s="1"/>
  <c r="A12" i="81" s="1"/>
  <c r="A13" i="81" s="1"/>
  <c r="A14" i="81" s="1"/>
  <c r="A15" i="81"/>
  <c r="A16" i="81" s="1"/>
  <c r="A17" i="81" s="1"/>
  <c r="A18" i="81" s="1"/>
  <c r="A19" i="81" s="1"/>
  <c r="A20" i="81" s="1"/>
  <c r="A21" i="81" s="1"/>
  <c r="A22" i="81" s="1"/>
  <c r="A27" i="81"/>
  <c r="A28" i="81" s="1"/>
  <c r="A29" i="81" s="1"/>
  <c r="A30" i="81" s="1"/>
  <c r="A31" i="81" s="1"/>
  <c r="A32" i="81" s="1"/>
  <c r="A33" i="81" s="1"/>
  <c r="A34" i="81" s="1"/>
  <c r="A35" i="81" s="1"/>
  <c r="A36" i="81" s="1"/>
  <c r="A37" i="81" s="1"/>
  <c r="A38" i="81" s="1"/>
  <c r="A39" i="81" s="1"/>
  <c r="A40" i="81" s="1"/>
  <c r="A41" i="81" s="1"/>
  <c r="A42" i="81" s="1"/>
  <c r="A45" i="81" s="1"/>
  <c r="A46" i="81" s="1"/>
  <c r="A47" i="81" s="1"/>
  <c r="A48" i="81" s="1"/>
  <c r="A49" i="81" s="1"/>
  <c r="A50" i="81" s="1"/>
  <c r="A2" i="44"/>
  <c r="E5" i="44"/>
  <c r="E11" i="44" s="1"/>
  <c r="D111" i="18" s="1"/>
  <c r="G5" i="44"/>
  <c r="G11" i="44" s="1"/>
  <c r="E111" i="18" s="1"/>
  <c r="A2" i="79"/>
  <c r="G8" i="79"/>
  <c r="G15" i="79"/>
  <c r="G21" i="79"/>
  <c r="G29" i="79" s="1"/>
  <c r="G31" i="79" s="1"/>
  <c r="G33" i="79" s="1"/>
  <c r="G35" i="79" s="1"/>
  <c r="G37" i="79" s="1"/>
  <c r="G27" i="79"/>
  <c r="E51" i="79"/>
  <c r="A2" i="41"/>
  <c r="A69" i="41" s="1"/>
  <c r="A9"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D156" i="41"/>
  <c r="E156" i="41"/>
  <c r="F156" i="41"/>
  <c r="G156" i="41"/>
  <c r="H167" i="41"/>
  <c r="H168" i="41"/>
  <c r="H169" i="41"/>
  <c r="H170" i="41"/>
  <c r="H171" i="41"/>
  <c r="H172" i="41"/>
  <c r="H173" i="41"/>
  <c r="H174" i="41"/>
  <c r="H175" i="41"/>
  <c r="H176" i="41"/>
  <c r="H177" i="41"/>
  <c r="H178" i="41"/>
  <c r="H179" i="41"/>
  <c r="H180" i="41"/>
  <c r="H181" i="41"/>
  <c r="H182" i="41"/>
  <c r="H183" i="41"/>
  <c r="H184" i="41"/>
  <c r="H185" i="41"/>
  <c r="A2" i="42"/>
  <c r="A453" i="42" s="1"/>
  <c r="A9" i="42"/>
  <c r="A10" i="42" s="1"/>
  <c r="A11" i="42" s="1"/>
  <c r="A12" i="42" s="1"/>
  <c r="A13" i="42" s="1"/>
  <c r="A14" i="42" s="1"/>
  <c r="A15" i="42" s="1"/>
  <c r="A16" i="42" s="1"/>
  <c r="A17" i="42" s="1"/>
  <c r="A18" i="42" s="1"/>
  <c r="A19" i="42" s="1"/>
  <c r="A20" i="42" s="1"/>
  <c r="A21" i="42" s="1"/>
  <c r="A22" i="42" s="1"/>
  <c r="A23" i="42" s="1"/>
  <c r="A24" i="42" s="1"/>
  <c r="A25" i="42" s="1"/>
  <c r="A26" i="42" s="1"/>
  <c r="A27" i="42" s="1"/>
  <c r="A28" i="42" s="1"/>
  <c r="A29" i="42" s="1"/>
  <c r="A30" i="42" s="1"/>
  <c r="A31" i="42" s="1"/>
  <c r="A32" i="42" s="1"/>
  <c r="A33" i="42" s="1"/>
  <c r="A34" i="42" s="1"/>
  <c r="A35" i="42" s="1"/>
  <c r="A36" i="42" s="1"/>
  <c r="A37" i="42" s="1"/>
  <c r="A38" i="42" s="1"/>
  <c r="A39" i="42" s="1"/>
  <c r="A40" i="42" s="1"/>
  <c r="A41" i="42" s="1"/>
  <c r="A42" i="42" s="1"/>
  <c r="A43" i="42" s="1"/>
  <c r="A44" i="42" s="1"/>
  <c r="A45" i="42" s="1"/>
  <c r="A46" i="42" s="1"/>
  <c r="A47" i="42" s="1"/>
  <c r="A48" i="42" s="1"/>
  <c r="A49" i="42" s="1"/>
  <c r="A50" i="42" s="1"/>
  <c r="A51" i="42" s="1"/>
  <c r="A52" i="42" s="1"/>
  <c r="A53" i="42" s="1"/>
  <c r="A54" i="42" s="1"/>
  <c r="A55" i="42" s="1"/>
  <c r="A56" i="42" s="1"/>
  <c r="A57" i="42" s="1"/>
  <c r="A58" i="42" s="1"/>
  <c r="A59" i="42" s="1"/>
  <c r="A60" i="42" s="1"/>
  <c r="A61" i="42" s="1"/>
  <c r="A62" i="42" s="1"/>
  <c r="A63" i="42" s="1"/>
  <c r="A64" i="42" s="1"/>
  <c r="A65" i="42" s="1"/>
  <c r="A66" i="42" s="1"/>
  <c r="A67" i="42" s="1"/>
  <c r="A68" i="42" s="1"/>
  <c r="A69" i="42" s="1"/>
  <c r="A70" i="42" s="1"/>
  <c r="A71" i="42" s="1"/>
  <c r="A72" i="42" s="1"/>
  <c r="A73" i="42" s="1"/>
  <c r="A82" i="42" s="1"/>
  <c r="A83" i="42" s="1"/>
  <c r="A84" i="42" s="1"/>
  <c r="A85" i="42" s="1"/>
  <c r="A86" i="42" s="1"/>
  <c r="A87" i="42" s="1"/>
  <c r="A88" i="42" s="1"/>
  <c r="A89" i="42" s="1"/>
  <c r="A90" i="42" s="1"/>
  <c r="A91" i="42" s="1"/>
  <c r="A92" i="42" s="1"/>
  <c r="A93" i="42" s="1"/>
  <c r="A94" i="42" s="1"/>
  <c r="A95" i="42" s="1"/>
  <c r="A96" i="42" s="1"/>
  <c r="A97" i="42" s="1"/>
  <c r="A98" i="42" s="1"/>
  <c r="A99" i="42" s="1"/>
  <c r="A100" i="42" s="1"/>
  <c r="A101" i="42" s="1"/>
  <c r="A102" i="42" s="1"/>
  <c r="A103" i="42" s="1"/>
  <c r="A104" i="42" s="1"/>
  <c r="A105" i="42" s="1"/>
  <c r="A106" i="42" s="1"/>
  <c r="A107" i="42" s="1"/>
  <c r="A108" i="42" s="1"/>
  <c r="A109" i="42" s="1"/>
  <c r="A110" i="42" s="1"/>
  <c r="A111" i="42" s="1"/>
  <c r="A112" i="42" s="1"/>
  <c r="A113" i="42" s="1"/>
  <c r="A114" i="42" s="1"/>
  <c r="A115" i="42" s="1"/>
  <c r="A116" i="42" s="1"/>
  <c r="A117" i="42" s="1"/>
  <c r="A118" i="42" s="1"/>
  <c r="A119" i="42" s="1"/>
  <c r="A120" i="42" s="1"/>
  <c r="A121" i="42" s="1"/>
  <c r="A122" i="42" s="1"/>
  <c r="A123" i="42" s="1"/>
  <c r="A124" i="42" s="1"/>
  <c r="A125" i="42" s="1"/>
  <c r="A126" i="42" s="1"/>
  <c r="A127" i="42" s="1"/>
  <c r="A128" i="42" s="1"/>
  <c r="A129" i="42" s="1"/>
  <c r="A130" i="42" s="1"/>
  <c r="A139" i="42" s="1"/>
  <c r="A140" i="42" s="1"/>
  <c r="A141" i="42" s="1"/>
  <c r="A142" i="42" s="1"/>
  <c r="A143" i="42" s="1"/>
  <c r="A144" i="42" s="1"/>
  <c r="A145" i="42" s="1"/>
  <c r="A146" i="42" s="1"/>
  <c r="A147" i="42" s="1"/>
  <c r="A148" i="42" s="1"/>
  <c r="A149" i="42" s="1"/>
  <c r="A150" i="42" s="1"/>
  <c r="A151" i="42" s="1"/>
  <c r="A152" i="42" s="1"/>
  <c r="A153" i="42" s="1"/>
  <c r="A154" i="42" s="1"/>
  <c r="A155" i="42" s="1"/>
  <c r="A156" i="42" s="1"/>
  <c r="A157" i="42" s="1"/>
  <c r="A158" i="42" s="1"/>
  <c r="A159" i="42" s="1"/>
  <c r="A160" i="42" s="1"/>
  <c r="A161" i="42" s="1"/>
  <c r="A162" i="42" s="1"/>
  <c r="A163" i="42" s="1"/>
  <c r="A164" i="42" s="1"/>
  <c r="A165" i="42" s="1"/>
  <c r="A166" i="42" s="1"/>
  <c r="A167" i="42" s="1"/>
  <c r="A168" i="42" s="1"/>
  <c r="A169" i="42" s="1"/>
  <c r="A170" i="42" s="1"/>
  <c r="A171" i="42" s="1"/>
  <c r="A172" i="42" s="1"/>
  <c r="A173" i="42" s="1"/>
  <c r="A174" i="42" s="1"/>
  <c r="A175" i="42" s="1"/>
  <c r="A176" i="42" s="1"/>
  <c r="A177" i="42" s="1"/>
  <c r="A178" i="42" s="1"/>
  <c r="A179" i="42" s="1"/>
  <c r="A180" i="42" s="1"/>
  <c r="A181" i="42" s="1"/>
  <c r="A182" i="42" s="1"/>
  <c r="A183" i="42" s="1"/>
  <c r="A184" i="42" s="1"/>
  <c r="A185" i="42" s="1"/>
  <c r="A186" i="42" s="1"/>
  <c r="A187" i="42" s="1"/>
  <c r="A188" i="42" s="1"/>
  <c r="A189" i="42" s="1"/>
  <c r="A190" i="42" s="1"/>
  <c r="A191" i="42" s="1"/>
  <c r="A192" i="42" s="1"/>
  <c r="A193" i="42" s="1"/>
  <c r="A194" i="42" s="1"/>
  <c r="A195" i="42" s="1"/>
  <c r="A196" i="42" s="1"/>
  <c r="A197" i="42" s="1"/>
  <c r="A198" i="42" s="1"/>
  <c r="A199" i="42" s="1"/>
  <c r="A207" i="42" s="1"/>
  <c r="A208" i="42" s="1"/>
  <c r="A209" i="42" s="1"/>
  <c r="A210" i="42" s="1"/>
  <c r="A211" i="42" s="1"/>
  <c r="A212" i="42" s="1"/>
  <c r="A213" i="42" s="1"/>
  <c r="A214" i="42" s="1"/>
  <c r="A215" i="42" s="1"/>
  <c r="A216" i="42" s="1"/>
  <c r="A217" i="42" s="1"/>
  <c r="A218" i="42" s="1"/>
  <c r="A219" i="42" s="1"/>
  <c r="A220" i="42" s="1"/>
  <c r="A221" i="42" s="1"/>
  <c r="A222" i="42" s="1"/>
  <c r="A223" i="42" s="1"/>
  <c r="A224" i="42" s="1"/>
  <c r="A225" i="42" s="1"/>
  <c r="A226" i="42" s="1"/>
  <c r="A227" i="42" s="1"/>
  <c r="A228" i="42" s="1"/>
  <c r="A229" i="42" s="1"/>
  <c r="A230" i="42" s="1"/>
  <c r="A231" i="42" s="1"/>
  <c r="A232" i="42" s="1"/>
  <c r="A233" i="42" s="1"/>
  <c r="A234" i="42" s="1"/>
  <c r="A235" i="42" s="1"/>
  <c r="A236" i="42" s="1"/>
  <c r="A237" i="42" s="1"/>
  <c r="A238" i="42" s="1"/>
  <c r="A239" i="42" s="1"/>
  <c r="A240" i="42" s="1"/>
  <c r="A241" i="42" s="1"/>
  <c r="A242" i="42" s="1"/>
  <c r="A243" i="42" s="1"/>
  <c r="A244" i="42" s="1"/>
  <c r="A245" i="42" s="1"/>
  <c r="A246" i="42" s="1"/>
  <c r="A247" i="42" s="1"/>
  <c r="A248" i="42" s="1"/>
  <c r="A249" i="42" s="1"/>
  <c r="A250" i="42" s="1"/>
  <c r="A251" i="42" s="1"/>
  <c r="A252" i="42" s="1"/>
  <c r="A253" i="42" s="1"/>
  <c r="A254" i="42" s="1"/>
  <c r="A255" i="42" s="1"/>
  <c r="A256" i="42" s="1"/>
  <c r="A257" i="42" s="1"/>
  <c r="A258" i="42" s="1"/>
  <c r="A259" i="42" s="1"/>
  <c r="A260" i="42" s="1"/>
  <c r="A261" i="42" s="1"/>
  <c r="A262" i="42" s="1"/>
  <c r="A263" i="42" s="1"/>
  <c r="A264" i="42" s="1"/>
  <c r="A265" i="42" s="1"/>
  <c r="A266" i="42" s="1"/>
  <c r="A267" i="42" s="1"/>
  <c r="A268" i="42" s="1"/>
  <c r="A269" i="42" s="1"/>
  <c r="A270" i="42" s="1"/>
  <c r="A271" i="42" s="1"/>
  <c r="A272" i="42" s="1"/>
  <c r="A273" i="42" s="1"/>
  <c r="A274" i="42" s="1"/>
  <c r="A275" i="42" s="1"/>
  <c r="A276" i="42" s="1"/>
  <c r="A284" i="42" s="1"/>
  <c r="A285" i="42" s="1"/>
  <c r="A286" i="42" s="1"/>
  <c r="A287" i="42" s="1"/>
  <c r="A288" i="42" s="1"/>
  <c r="A289" i="42" s="1"/>
  <c r="A290" i="42" s="1"/>
  <c r="A291" i="42" s="1"/>
  <c r="A292" i="42" s="1"/>
  <c r="A293" i="42" s="1"/>
  <c r="A294" i="42" s="1"/>
  <c r="A295" i="42" s="1"/>
  <c r="A296" i="42" s="1"/>
  <c r="A297" i="42" s="1"/>
  <c r="A298" i="42" s="1"/>
  <c r="A299" i="42" s="1"/>
  <c r="A300" i="42" s="1"/>
  <c r="A301" i="42" s="1"/>
  <c r="A302" i="42" s="1"/>
  <c r="A303" i="42" s="1"/>
  <c r="A304" i="42" s="1"/>
  <c r="A305" i="42" s="1"/>
  <c r="A306" i="42" s="1"/>
  <c r="A307" i="42" s="1"/>
  <c r="A308" i="42" s="1"/>
  <c r="A309" i="42" s="1"/>
  <c r="A310" i="42" s="1"/>
  <c r="A311" i="42" s="1"/>
  <c r="A312" i="42" s="1"/>
  <c r="A313" i="42" s="1"/>
  <c r="A314" i="42" s="1"/>
  <c r="A315" i="42" s="1"/>
  <c r="A316" i="42" s="1"/>
  <c r="A317" i="42" s="1"/>
  <c r="A318" i="42" s="1"/>
  <c r="A319" i="42" s="1"/>
  <c r="A320" i="42" s="1"/>
  <c r="A321" i="42" s="1"/>
  <c r="A322" i="42" s="1"/>
  <c r="A323" i="42" s="1"/>
  <c r="A324" i="42" s="1"/>
  <c r="A325" i="42" s="1"/>
  <c r="A326" i="42" s="1"/>
  <c r="A327" i="42" s="1"/>
  <c r="A328" i="42" s="1"/>
  <c r="A329" i="42" s="1"/>
  <c r="A330" i="42" s="1"/>
  <c r="A331" i="42" s="1"/>
  <c r="A332" i="42" s="1"/>
  <c r="A333" i="42" s="1"/>
  <c r="A334" i="42" s="1"/>
  <c r="A335" i="42" s="1"/>
  <c r="A336" i="42" s="1"/>
  <c r="A337" i="42" s="1"/>
  <c r="A338" i="42" s="1"/>
  <c r="A339" i="42" s="1"/>
  <c r="A340" i="42" s="1"/>
  <c r="A341" i="42" s="1"/>
  <c r="A342" i="42" s="1"/>
  <c r="A343" i="42" s="1"/>
  <c r="A344" i="42" s="1"/>
  <c r="A345" i="42" s="1"/>
  <c r="A346" i="42" s="1"/>
  <c r="A347" i="42" s="1"/>
  <c r="A348" i="42" s="1"/>
  <c r="A349" i="42" s="1"/>
  <c r="A350" i="42" s="1"/>
  <c r="A351" i="42" s="1"/>
  <c r="A352" i="42" s="1"/>
  <c r="A353" i="42" s="1"/>
  <c r="A361" i="42" s="1"/>
  <c r="H9" i="42"/>
  <c r="H10" i="42"/>
  <c r="H12" i="42"/>
  <c r="H16" i="42"/>
  <c r="H20" i="42"/>
  <c r="H25" i="42"/>
  <c r="H26" i="42"/>
  <c r="H28" i="42"/>
  <c r="H29" i="42"/>
  <c r="H31" i="42"/>
  <c r="H32" i="42"/>
  <c r="H33" i="42"/>
  <c r="H34" i="42"/>
  <c r="H35" i="42"/>
  <c r="H36" i="42"/>
  <c r="H37" i="42"/>
  <c r="H38" i="42"/>
  <c r="H39" i="42"/>
  <c r="H40" i="42"/>
  <c r="H41" i="42"/>
  <c r="H42" i="42"/>
  <c r="H43" i="42"/>
  <c r="H44" i="42"/>
  <c r="H45" i="42"/>
  <c r="H46" i="42"/>
  <c r="H47" i="42"/>
  <c r="H48" i="42"/>
  <c r="H49" i="42"/>
  <c r="H50" i="42"/>
  <c r="H51" i="42"/>
  <c r="H52" i="42"/>
  <c r="H53" i="42"/>
  <c r="H54" i="42"/>
  <c r="H55" i="42"/>
  <c r="H56" i="42"/>
  <c r="H57" i="42"/>
  <c r="H58" i="42"/>
  <c r="H59" i="42"/>
  <c r="H60" i="42"/>
  <c r="H61" i="42"/>
  <c r="H62" i="42"/>
  <c r="H63" i="42"/>
  <c r="H64" i="42"/>
  <c r="H65" i="42"/>
  <c r="H66" i="42"/>
  <c r="H67" i="42"/>
  <c r="H68" i="42"/>
  <c r="H69" i="42"/>
  <c r="H70" i="42"/>
  <c r="H71" i="42"/>
  <c r="H72" i="42"/>
  <c r="H73" i="42"/>
  <c r="H82" i="42"/>
  <c r="H83" i="42"/>
  <c r="H84" i="42"/>
  <c r="H85" i="42"/>
  <c r="H86" i="42"/>
  <c r="H87" i="42"/>
  <c r="H88" i="42"/>
  <c r="H89" i="42"/>
  <c r="H90" i="42"/>
  <c r="H91" i="42"/>
  <c r="H92" i="42"/>
  <c r="H93" i="42"/>
  <c r="H94" i="42"/>
  <c r="H95" i="42"/>
  <c r="H96" i="42"/>
  <c r="H97" i="42"/>
  <c r="H98" i="42"/>
  <c r="H99" i="42"/>
  <c r="H100" i="42"/>
  <c r="H101" i="42"/>
  <c r="H102" i="42"/>
  <c r="H103" i="42"/>
  <c r="H104" i="42"/>
  <c r="H105" i="42"/>
  <c r="H106" i="42"/>
  <c r="H107" i="42"/>
  <c r="H108" i="42"/>
  <c r="H109" i="42"/>
  <c r="H110" i="42"/>
  <c r="H111" i="42"/>
  <c r="H112" i="42"/>
  <c r="H113" i="42"/>
  <c r="H114" i="42"/>
  <c r="H115" i="42"/>
  <c r="H116" i="42"/>
  <c r="H117" i="42"/>
  <c r="H118" i="42"/>
  <c r="H119" i="42"/>
  <c r="H120" i="42"/>
  <c r="H121" i="42"/>
  <c r="H122" i="42"/>
  <c r="H123" i="42"/>
  <c r="H124" i="42"/>
  <c r="H125" i="42"/>
  <c r="H126" i="42"/>
  <c r="H127" i="42"/>
  <c r="H128" i="42"/>
  <c r="H129" i="42"/>
  <c r="H130" i="42"/>
  <c r="H139" i="42"/>
  <c r="H140" i="42"/>
  <c r="H141" i="42"/>
  <c r="H142" i="42"/>
  <c r="H143" i="42"/>
  <c r="H144" i="42"/>
  <c r="H145" i="42"/>
  <c r="H146" i="42"/>
  <c r="H147" i="42"/>
  <c r="H148" i="42"/>
  <c r="H149" i="42"/>
  <c r="H150" i="42"/>
  <c r="H151" i="42"/>
  <c r="H152" i="42"/>
  <c r="H153" i="42"/>
  <c r="H154" i="42"/>
  <c r="H155" i="42"/>
  <c r="H156" i="42"/>
  <c r="H157" i="42"/>
  <c r="H158" i="42"/>
  <c r="H159" i="42"/>
  <c r="H160" i="42"/>
  <c r="H161" i="42"/>
  <c r="H162" i="42"/>
  <c r="H163" i="42"/>
  <c r="H164" i="42"/>
  <c r="H165" i="42"/>
  <c r="H166" i="42"/>
  <c r="H167" i="42"/>
  <c r="H168" i="42"/>
  <c r="H169" i="42"/>
  <c r="H170" i="42"/>
  <c r="H171" i="42"/>
  <c r="H172" i="42"/>
  <c r="H173" i="42"/>
  <c r="H174" i="42"/>
  <c r="H175" i="42"/>
  <c r="H176" i="42"/>
  <c r="H177" i="42"/>
  <c r="H178" i="42"/>
  <c r="H179" i="42"/>
  <c r="H180" i="42"/>
  <c r="H181" i="42"/>
  <c r="H182" i="42"/>
  <c r="H183" i="42"/>
  <c r="H184" i="42"/>
  <c r="H185" i="42"/>
  <c r="H186" i="42"/>
  <c r="H187" i="42"/>
  <c r="H188" i="42"/>
  <c r="H189" i="42"/>
  <c r="H190" i="42"/>
  <c r="H191" i="42"/>
  <c r="H192" i="42"/>
  <c r="H193" i="42"/>
  <c r="H194" i="42"/>
  <c r="H195" i="42"/>
  <c r="H196" i="42"/>
  <c r="H197" i="42"/>
  <c r="H198" i="42"/>
  <c r="H199" i="42"/>
  <c r="H207" i="42"/>
  <c r="H208" i="42"/>
  <c r="H209" i="42"/>
  <c r="H210" i="42"/>
  <c r="H211" i="42"/>
  <c r="H212" i="42"/>
  <c r="H213" i="42"/>
  <c r="H214" i="42"/>
  <c r="H215" i="42"/>
  <c r="H216" i="42"/>
  <c r="H217" i="42"/>
  <c r="H218" i="42"/>
  <c r="H219" i="42"/>
  <c r="H220" i="42"/>
  <c r="H221" i="42"/>
  <c r="H222" i="42"/>
  <c r="H223" i="42"/>
  <c r="H224" i="42"/>
  <c r="H225" i="42"/>
  <c r="H226" i="42"/>
  <c r="H227" i="42"/>
  <c r="H228" i="42"/>
  <c r="H229" i="42"/>
  <c r="H230" i="42"/>
  <c r="H231" i="42"/>
  <c r="H232" i="42"/>
  <c r="H233" i="42"/>
  <c r="H234" i="42"/>
  <c r="H235" i="42"/>
  <c r="H236" i="42"/>
  <c r="H237" i="42"/>
  <c r="H238" i="42"/>
  <c r="H239" i="42"/>
  <c r="H240" i="42"/>
  <c r="H241" i="42"/>
  <c r="H242" i="42"/>
  <c r="H243" i="42"/>
  <c r="H244" i="42"/>
  <c r="H245" i="42"/>
  <c r="H246" i="42"/>
  <c r="H247" i="42"/>
  <c r="H248" i="42"/>
  <c r="H249" i="42"/>
  <c r="H250" i="42"/>
  <c r="H251" i="42"/>
  <c r="H252" i="42"/>
  <c r="H253" i="42"/>
  <c r="H254" i="42"/>
  <c r="H255" i="42"/>
  <c r="H256" i="42"/>
  <c r="H257" i="42"/>
  <c r="H258" i="42"/>
  <c r="H259" i="42"/>
  <c r="H260" i="42"/>
  <c r="H261" i="42"/>
  <c r="H262" i="42"/>
  <c r="H263" i="42"/>
  <c r="H264" i="42"/>
  <c r="H265" i="42"/>
  <c r="H266" i="42"/>
  <c r="H267" i="42"/>
  <c r="H460" i="42"/>
  <c r="H461" i="42"/>
  <c r="H462" i="42"/>
  <c r="H463" i="42"/>
  <c r="H464" i="42"/>
  <c r="A2" i="40"/>
  <c r="E9" i="40"/>
  <c r="H9" i="40"/>
  <c r="A10" i="40"/>
  <c r="A11" i="40"/>
  <c r="A12" i="40" s="1"/>
  <c r="A13" i="40" s="1"/>
  <c r="A14" i="40" s="1"/>
  <c r="A15" i="40" s="1"/>
  <c r="A16" i="40"/>
  <c r="A17" i="40" s="1"/>
  <c r="A18" i="40" s="1"/>
  <c r="A19" i="40"/>
  <c r="A20" i="40" s="1"/>
  <c r="A21" i="40" s="1"/>
  <c r="E10" i="40"/>
  <c r="H10" i="40"/>
  <c r="E11" i="40"/>
  <c r="H11" i="40"/>
  <c r="E12" i="40"/>
  <c r="H12" i="40"/>
  <c r="E13" i="40"/>
  <c r="H13" i="40"/>
  <c r="E14" i="40"/>
  <c r="H14" i="40"/>
  <c r="E15" i="40"/>
  <c r="H15" i="40"/>
  <c r="E16" i="40"/>
  <c r="H16" i="40"/>
  <c r="E17" i="40"/>
  <c r="H17" i="40"/>
  <c r="E18" i="40"/>
  <c r="H18" i="40"/>
  <c r="E19" i="40"/>
  <c r="H19" i="40"/>
  <c r="E20" i="40"/>
  <c r="H20" i="40"/>
  <c r="C21" i="40"/>
  <c r="D18" i="84" s="1"/>
  <c r="F21" i="40"/>
  <c r="E18" i="84" s="1"/>
  <c r="G21" i="40"/>
  <c r="A2" i="54"/>
  <c r="D50" i="54"/>
  <c r="G21" i="34" s="1"/>
  <c r="G23" i="34" s="1"/>
  <c r="F6" i="84" s="1"/>
  <c r="F50" i="54"/>
  <c r="E51" i="34" s="1"/>
  <c r="A2" i="86"/>
  <c r="A19" i="86"/>
  <c r="B19" i="86"/>
  <c r="D19" i="86"/>
  <c r="E19" i="86"/>
  <c r="F19" i="86"/>
  <c r="G19" i="86"/>
  <c r="H19" i="86"/>
  <c r="I19" i="86"/>
  <c r="J19" i="86"/>
  <c r="K19" i="86"/>
  <c r="L19" i="86"/>
  <c r="M19" i="86"/>
  <c r="N19" i="86"/>
  <c r="O19" i="86"/>
  <c r="A20" i="86"/>
  <c r="A21" i="86"/>
  <c r="A22" i="86" s="1"/>
  <c r="A23" i="86" s="1"/>
  <c r="A24" i="86" s="1"/>
  <c r="A25" i="86" s="1"/>
  <c r="A29" i="86" s="1"/>
  <c r="A30" i="86" s="1"/>
  <c r="A31" i="86" s="1"/>
  <c r="A32" i="86" s="1"/>
  <c r="A33" i="86" s="1"/>
  <c r="A34" i="86" s="1"/>
  <c r="A35" i="86" s="1"/>
  <c r="A41" i="86" s="1"/>
  <c r="A42" i="86" s="1"/>
  <c r="A43" i="86" s="1"/>
  <c r="A44" i="86" s="1"/>
  <c r="A45" i="86" s="1"/>
  <c r="A46" i="86" s="1"/>
  <c r="A47" i="86" s="1"/>
  <c r="A51" i="86" s="1"/>
  <c r="A52" i="86" s="1"/>
  <c r="A53" i="86" s="1"/>
  <c r="A54" i="86" s="1"/>
  <c r="A55" i="86" s="1"/>
  <c r="B20" i="86"/>
  <c r="D20" i="86"/>
  <c r="E20" i="86"/>
  <c r="F20" i="86"/>
  <c r="G20" i="86"/>
  <c r="H20" i="86"/>
  <c r="I20" i="86"/>
  <c r="J20" i="86"/>
  <c r="K20" i="86"/>
  <c r="P20" i="86" s="1"/>
  <c r="L20" i="86"/>
  <c r="M20" i="86"/>
  <c r="N20" i="86"/>
  <c r="O20" i="86"/>
  <c r="B21" i="86"/>
  <c r="D21" i="86"/>
  <c r="E21" i="86"/>
  <c r="F21" i="86"/>
  <c r="G21" i="86"/>
  <c r="H21" i="86"/>
  <c r="I21" i="86"/>
  <c r="J21" i="86"/>
  <c r="K21" i="86"/>
  <c r="L21" i="86"/>
  <c r="M21" i="86"/>
  <c r="N21" i="86"/>
  <c r="O21" i="86"/>
  <c r="A56" i="86"/>
  <c r="A57" i="86" s="1"/>
  <c r="A61" i="86" s="1"/>
  <c r="A62" i="86" s="1"/>
  <c r="A63" i="86" s="1"/>
  <c r="A64" i="86" s="1"/>
  <c r="A65" i="86" s="1"/>
  <c r="A66" i="86" s="1"/>
  <c r="A67" i="86" s="1"/>
  <c r="A73" i="86" s="1"/>
  <c r="A74" i="86" s="1"/>
  <c r="A75" i="86" s="1"/>
  <c r="A76" i="86" s="1"/>
  <c r="A77" i="86" s="1"/>
  <c r="A78" i="86" s="1"/>
  <c r="A79" i="86" s="1"/>
  <c r="A83" i="86" s="1"/>
  <c r="A84" i="86" s="1"/>
  <c r="A85" i="86" s="1"/>
  <c r="A86" i="86" s="1"/>
  <c r="A87" i="86" s="1"/>
  <c r="A88" i="86" s="1"/>
  <c r="A89" i="86" s="1"/>
  <c r="A93" i="86" s="1"/>
  <c r="A94" i="86" s="1"/>
  <c r="A95" i="86" s="1"/>
  <c r="A96" i="86" s="1"/>
  <c r="A97" i="86" s="1"/>
  <c r="A98" i="86" s="1"/>
  <c r="A99" i="86" s="1"/>
  <c r="A105" i="86" s="1"/>
  <c r="A106" i="86" s="1"/>
  <c r="A107" i="86" s="1"/>
  <c r="A108" i="86" s="1"/>
  <c r="A109" i="86" s="1"/>
  <c r="A110" i="86" s="1"/>
  <c r="A111" i="86" s="1"/>
  <c r="A115" i="86" s="1"/>
  <c r="A116" i="86" s="1"/>
  <c r="A117" i="86" s="1"/>
  <c r="A118" i="86" s="1"/>
  <c r="A119" i="86" s="1"/>
  <c r="A120" i="86" s="1"/>
  <c r="A121" i="86" s="1"/>
  <c r="A125" i="86" s="1"/>
  <c r="A126" i="86" s="1"/>
  <c r="A127" i="86" s="1"/>
  <c r="A128" i="86" s="1"/>
  <c r="A129" i="86" s="1"/>
  <c r="A130" i="86" s="1"/>
  <c r="A131" i="86" s="1"/>
  <c r="A137" i="86" s="1"/>
  <c r="A138" i="86" s="1"/>
  <c r="A139" i="86" s="1"/>
  <c r="A140" i="86" s="1"/>
  <c r="A141" i="86" s="1"/>
  <c r="A145" i="86" s="1"/>
  <c r="A146" i="86" s="1"/>
  <c r="A147" i="86" s="1"/>
  <c r="A148" i="86" s="1"/>
  <c r="A149" i="86" s="1"/>
  <c r="A153" i="86" s="1"/>
  <c r="A154" i="86" s="1"/>
  <c r="A155" i="86" s="1"/>
  <c r="A156" i="86" s="1"/>
  <c r="A157" i="86" s="1"/>
  <c r="A163" i="86" s="1"/>
  <c r="A164" i="86" s="1"/>
  <c r="A165" i="86" s="1"/>
  <c r="A166" i="86" s="1"/>
  <c r="A167" i="86" s="1"/>
  <c r="A171" i="86" s="1"/>
  <c r="A172" i="86" s="1"/>
  <c r="A173" i="86" s="1"/>
  <c r="A174" i="86" s="1"/>
  <c r="A175" i="86" s="1"/>
  <c r="A179" i="86" s="1"/>
  <c r="A180" i="86" s="1"/>
  <c r="A181" i="86" s="1"/>
  <c r="A182" i="86" s="1"/>
  <c r="A183" i="86" s="1"/>
  <c r="A189" i="86" s="1"/>
  <c r="A190" i="86" s="1"/>
  <c r="A191" i="86" s="1"/>
  <c r="A192" i="86" s="1"/>
  <c r="A193" i="86" s="1"/>
  <c r="A197" i="86" s="1"/>
  <c r="A198" i="86" s="1"/>
  <c r="A199" i="86" s="1"/>
  <c r="A200" i="86" s="1"/>
  <c r="A201" i="86" s="1"/>
  <c r="A205" i="86" s="1"/>
  <c r="A206" i="86" s="1"/>
  <c r="A207" i="86" s="1"/>
  <c r="A208" i="86" s="1"/>
  <c r="A209" i="86" s="1"/>
  <c r="A215" i="86" s="1"/>
  <c r="A216" i="86" s="1"/>
  <c r="A217" i="86" s="1"/>
  <c r="A218" i="86" s="1"/>
  <c r="A219" i="86" s="1"/>
  <c r="A223" i="86" s="1"/>
  <c r="A224" i="86" s="1"/>
  <c r="A225" i="86" s="1"/>
  <c r="A226" i="86" s="1"/>
  <c r="A227" i="86" s="1"/>
  <c r="A231" i="86" s="1"/>
  <c r="A232" i="86" s="1"/>
  <c r="A233" i="86" s="1"/>
  <c r="A234" i="86" s="1"/>
  <c r="A235" i="86" s="1"/>
  <c r="A241" i="86" s="1"/>
  <c r="A242" i="86" s="1"/>
  <c r="A243" i="86" s="1"/>
  <c r="A244" i="86" s="1"/>
  <c r="A245" i="86" s="1"/>
  <c r="A249" i="86" s="1"/>
  <c r="A250" i="86" s="1"/>
  <c r="A251" i="86" s="1"/>
  <c r="A252" i="86" s="1"/>
  <c r="A253" i="86" s="1"/>
  <c r="A257" i="86" s="1"/>
  <c r="A258" i="86" s="1"/>
  <c r="A259" i="86" s="1"/>
  <c r="A260" i="86" s="1"/>
  <c r="A261" i="86" s="1"/>
  <c r="A267" i="86" s="1"/>
  <c r="A268" i="86" s="1"/>
  <c r="A269" i="86" s="1"/>
  <c r="A270" i="86" s="1"/>
  <c r="A271" i="86" s="1"/>
  <c r="A275" i="86" s="1"/>
  <c r="A276" i="86" s="1"/>
  <c r="A277" i="86" s="1"/>
  <c r="A278" i="86" s="1"/>
  <c r="A279" i="86" s="1"/>
  <c r="A283" i="86" s="1"/>
  <c r="A284" i="86" s="1"/>
  <c r="A285" i="86" s="1"/>
  <c r="A286" i="86" s="1"/>
  <c r="A287" i="86" s="1"/>
  <c r="A293" i="86" s="1"/>
  <c r="A294" i="86" s="1"/>
  <c r="A295" i="86" s="1"/>
  <c r="A296" i="86" s="1"/>
  <c r="A297" i="86" s="1"/>
  <c r="A301" i="86" s="1"/>
  <c r="A302" i="86" s="1"/>
  <c r="A303" i="86" s="1"/>
  <c r="A304" i="86" s="1"/>
  <c r="A305" i="86" s="1"/>
  <c r="A309" i="86" s="1"/>
  <c r="A310" i="86" s="1"/>
  <c r="A311" i="86" s="1"/>
  <c r="A312" i="86" s="1"/>
  <c r="A313" i="86" s="1"/>
  <c r="A319" i="86" s="1"/>
  <c r="A320" i="86" s="1"/>
  <c r="A321" i="86" s="1"/>
  <c r="A322" i="86" s="1"/>
  <c r="A323" i="86" s="1"/>
  <c r="A327" i="86" s="1"/>
  <c r="A328" i="86" s="1"/>
  <c r="A329" i="86" s="1"/>
  <c r="A330" i="86" s="1"/>
  <c r="A331" i="86" s="1"/>
  <c r="A335" i="86" s="1"/>
  <c r="A336" i="86" s="1"/>
  <c r="A337" i="86" s="1"/>
  <c r="A338" i="86" s="1"/>
  <c r="A339" i="86" s="1"/>
  <c r="B22" i="86"/>
  <c r="D22" i="86"/>
  <c r="E22" i="86"/>
  <c r="F22" i="86"/>
  <c r="G22" i="86"/>
  <c r="H22" i="86"/>
  <c r="I22" i="86"/>
  <c r="J22" i="86"/>
  <c r="K22" i="86"/>
  <c r="L22" i="86"/>
  <c r="M22" i="86"/>
  <c r="N22" i="86"/>
  <c r="O22" i="86"/>
  <c r="B23" i="86"/>
  <c r="D23" i="86"/>
  <c r="E23" i="86"/>
  <c r="F23" i="86"/>
  <c r="G23" i="86"/>
  <c r="H23" i="86"/>
  <c r="I23" i="86"/>
  <c r="J23" i="86"/>
  <c r="K23" i="86"/>
  <c r="L23" i="86"/>
  <c r="M23" i="86"/>
  <c r="N23" i="86"/>
  <c r="O23" i="86"/>
  <c r="B24" i="86"/>
  <c r="D24" i="86"/>
  <c r="E24" i="86"/>
  <c r="F24" i="86"/>
  <c r="G24" i="86"/>
  <c r="H24" i="86"/>
  <c r="I24" i="86"/>
  <c r="J24" i="86"/>
  <c r="K24" i="86"/>
  <c r="L24" i="86"/>
  <c r="M24" i="86"/>
  <c r="N24" i="86"/>
  <c r="O24" i="86"/>
  <c r="B25" i="86"/>
  <c r="D25" i="86"/>
  <c r="E25" i="86"/>
  <c r="F25" i="86"/>
  <c r="G25" i="86"/>
  <c r="H25" i="86"/>
  <c r="I25" i="86"/>
  <c r="J25" i="86"/>
  <c r="K25" i="86"/>
  <c r="L25" i="86"/>
  <c r="M25" i="86"/>
  <c r="N25" i="86"/>
  <c r="O25" i="86"/>
  <c r="B29" i="86"/>
  <c r="B30" i="86"/>
  <c r="B31" i="86"/>
  <c r="B32" i="86"/>
  <c r="B33" i="86"/>
  <c r="B34" i="86"/>
  <c r="B35" i="86"/>
  <c r="B51" i="86"/>
  <c r="D51" i="86"/>
  <c r="D61" i="86" s="1"/>
  <c r="E51" i="86"/>
  <c r="F51" i="86"/>
  <c r="G51" i="86"/>
  <c r="H51" i="86"/>
  <c r="I51" i="86"/>
  <c r="J51" i="86"/>
  <c r="K51" i="86"/>
  <c r="L51" i="86"/>
  <c r="M51" i="86"/>
  <c r="N51" i="86"/>
  <c r="O51" i="86"/>
  <c r="B52" i="86"/>
  <c r="D52" i="86"/>
  <c r="E52" i="86"/>
  <c r="F52" i="86"/>
  <c r="G52" i="86"/>
  <c r="H52" i="86"/>
  <c r="I52" i="86"/>
  <c r="J52" i="86"/>
  <c r="K52" i="86"/>
  <c r="L52" i="86"/>
  <c r="M52" i="86"/>
  <c r="N52" i="86"/>
  <c r="O52" i="86"/>
  <c r="B53" i="86"/>
  <c r="D53" i="86"/>
  <c r="E53" i="86"/>
  <c r="F53" i="86"/>
  <c r="G53" i="86"/>
  <c r="H53" i="86"/>
  <c r="I53" i="86"/>
  <c r="J53" i="86"/>
  <c r="K53" i="86"/>
  <c r="L53" i="86"/>
  <c r="M53" i="86"/>
  <c r="N53" i="86"/>
  <c r="O53" i="86"/>
  <c r="B54" i="86"/>
  <c r="D54" i="86"/>
  <c r="D64" i="86"/>
  <c r="E64" i="86"/>
  <c r="E54" i="86"/>
  <c r="F54" i="86"/>
  <c r="G54" i="86"/>
  <c r="H54" i="86"/>
  <c r="I54" i="86"/>
  <c r="J54" i="86"/>
  <c r="K54" i="86"/>
  <c r="L54" i="86"/>
  <c r="M54" i="86"/>
  <c r="N54" i="86"/>
  <c r="O54" i="86"/>
  <c r="B55" i="86"/>
  <c r="D55" i="86"/>
  <c r="D65" i="86" s="1"/>
  <c r="E55" i="86"/>
  <c r="F55" i="86"/>
  <c r="G55" i="86"/>
  <c r="H55" i="86"/>
  <c r="I55" i="86"/>
  <c r="J55" i="86"/>
  <c r="K55" i="86"/>
  <c r="L55" i="86"/>
  <c r="M55" i="86"/>
  <c r="N55" i="86"/>
  <c r="O55" i="86"/>
  <c r="B56" i="86"/>
  <c r="D56" i="86"/>
  <c r="D66" i="86" s="1"/>
  <c r="E66" i="86" s="1"/>
  <c r="E56" i="86"/>
  <c r="F56" i="86"/>
  <c r="G56" i="86"/>
  <c r="H56" i="86"/>
  <c r="I56" i="86"/>
  <c r="J56" i="86"/>
  <c r="K56" i="86"/>
  <c r="L56" i="86"/>
  <c r="M56" i="86"/>
  <c r="N56" i="86"/>
  <c r="O56" i="86"/>
  <c r="B57" i="86"/>
  <c r="D57" i="86"/>
  <c r="E57" i="86"/>
  <c r="F57" i="86"/>
  <c r="G57" i="86"/>
  <c r="H57" i="86"/>
  <c r="I57" i="86"/>
  <c r="J57" i="86"/>
  <c r="K57" i="86"/>
  <c r="L57" i="86"/>
  <c r="M57" i="86"/>
  <c r="N57" i="86"/>
  <c r="O57" i="86"/>
  <c r="B61" i="86"/>
  <c r="B62" i="86"/>
  <c r="B63" i="86"/>
  <c r="D63" i="86"/>
  <c r="B64" i="86"/>
  <c r="B65" i="86"/>
  <c r="B66" i="86"/>
  <c r="B67" i="86"/>
  <c r="D67" i="86"/>
  <c r="B83" i="86"/>
  <c r="D83" i="86"/>
  <c r="D93" i="86" s="1"/>
  <c r="E93" i="86" s="1"/>
  <c r="F93" i="86" s="1"/>
  <c r="G93" i="86" s="1"/>
  <c r="H93" i="86" s="1"/>
  <c r="I93" i="86" s="1"/>
  <c r="J93" i="86" s="1"/>
  <c r="K93" i="86" s="1"/>
  <c r="L93" i="86" s="1"/>
  <c r="M93" i="86" s="1"/>
  <c r="N93" i="86" s="1"/>
  <c r="O93" i="86" s="1"/>
  <c r="P93" i="86" s="1"/>
  <c r="E83" i="86"/>
  <c r="F83" i="86"/>
  <c r="G83" i="86"/>
  <c r="H83" i="86"/>
  <c r="I83" i="86"/>
  <c r="J83" i="86"/>
  <c r="K83" i="86"/>
  <c r="L83" i="86"/>
  <c r="M83" i="86"/>
  <c r="N83" i="86"/>
  <c r="O83" i="86"/>
  <c r="B84" i="86"/>
  <c r="D84" i="86"/>
  <c r="E84" i="86"/>
  <c r="F84" i="86"/>
  <c r="G84" i="86"/>
  <c r="H84" i="86"/>
  <c r="I84" i="86"/>
  <c r="J84" i="86"/>
  <c r="K84" i="86"/>
  <c r="L84" i="86"/>
  <c r="M84" i="86"/>
  <c r="N84" i="86"/>
  <c r="O84" i="86"/>
  <c r="B85" i="86"/>
  <c r="D85" i="86"/>
  <c r="D95" i="86" s="1"/>
  <c r="E95" i="86" s="1"/>
  <c r="F95" i="86" s="1"/>
  <c r="E85" i="86"/>
  <c r="F85" i="86"/>
  <c r="G85" i="86"/>
  <c r="H85" i="86"/>
  <c r="I85" i="86"/>
  <c r="J85" i="86"/>
  <c r="K85" i="86"/>
  <c r="L85" i="86"/>
  <c r="M85" i="86"/>
  <c r="N85" i="86"/>
  <c r="O85" i="86"/>
  <c r="B86" i="86"/>
  <c r="D86" i="86"/>
  <c r="E86" i="86"/>
  <c r="F86" i="86"/>
  <c r="G86" i="86"/>
  <c r="H86" i="86"/>
  <c r="I86" i="86"/>
  <c r="J86" i="86"/>
  <c r="K86" i="86"/>
  <c r="L86" i="86"/>
  <c r="M86" i="86"/>
  <c r="N86" i="86"/>
  <c r="O86" i="86"/>
  <c r="B87" i="86"/>
  <c r="D87" i="86"/>
  <c r="E87" i="86"/>
  <c r="F87" i="86"/>
  <c r="G87" i="86"/>
  <c r="H87" i="86"/>
  <c r="I87" i="86"/>
  <c r="J87" i="86"/>
  <c r="K87" i="86"/>
  <c r="L87" i="86"/>
  <c r="M87" i="86"/>
  <c r="N87" i="86"/>
  <c r="O87" i="86"/>
  <c r="B88" i="86"/>
  <c r="D88" i="86"/>
  <c r="D98" i="86" s="1"/>
  <c r="E98" i="86" s="1"/>
  <c r="F98" i="86" s="1"/>
  <c r="G98" i="86" s="1"/>
  <c r="H98" i="86" s="1"/>
  <c r="I98" i="86" s="1"/>
  <c r="J98" i="86" s="1"/>
  <c r="K98" i="86" s="1"/>
  <c r="L98" i="86" s="1"/>
  <c r="M98" i="86" s="1"/>
  <c r="N98" i="86" s="1"/>
  <c r="O98" i="86" s="1"/>
  <c r="P98" i="86" s="1"/>
  <c r="E88" i="86"/>
  <c r="F88" i="86"/>
  <c r="G88" i="86"/>
  <c r="H88" i="86"/>
  <c r="I88" i="86"/>
  <c r="J88" i="86"/>
  <c r="K88" i="86"/>
  <c r="L88" i="86"/>
  <c r="M88" i="86"/>
  <c r="N88" i="86"/>
  <c r="O88" i="86"/>
  <c r="B89" i="86"/>
  <c r="D89" i="86"/>
  <c r="E89" i="86"/>
  <c r="F89" i="86"/>
  <c r="G89" i="86"/>
  <c r="H89" i="86"/>
  <c r="I89" i="86"/>
  <c r="J89" i="86"/>
  <c r="K89" i="86"/>
  <c r="L89" i="86"/>
  <c r="P89" i="86" s="1"/>
  <c r="M89" i="86"/>
  <c r="N89" i="86"/>
  <c r="O89" i="86"/>
  <c r="B93" i="86"/>
  <c r="B94" i="86"/>
  <c r="D94" i="86"/>
  <c r="E94" i="86" s="1"/>
  <c r="F94" i="86" s="1"/>
  <c r="G94" i="86" s="1"/>
  <c r="H94" i="86" s="1"/>
  <c r="I94" i="86" s="1"/>
  <c r="J94" i="86" s="1"/>
  <c r="K94" i="86" s="1"/>
  <c r="L94" i="86" s="1"/>
  <c r="M94" i="86" s="1"/>
  <c r="N94" i="86" s="1"/>
  <c r="O94" i="86" s="1"/>
  <c r="P94" i="86" s="1"/>
  <c r="B95" i="86"/>
  <c r="G95" i="86"/>
  <c r="B96" i="86"/>
  <c r="D96" i="86"/>
  <c r="B97" i="86"/>
  <c r="D97" i="86"/>
  <c r="E97" i="86" s="1"/>
  <c r="B98" i="86"/>
  <c r="B99" i="86"/>
  <c r="B115" i="86"/>
  <c r="D115" i="86"/>
  <c r="E115" i="86"/>
  <c r="F115" i="86"/>
  <c r="G115" i="86"/>
  <c r="H115" i="86"/>
  <c r="I115" i="86"/>
  <c r="J115" i="86"/>
  <c r="K115" i="86"/>
  <c r="L115" i="86"/>
  <c r="M115" i="86"/>
  <c r="N115" i="86"/>
  <c r="O115" i="86"/>
  <c r="B116" i="86"/>
  <c r="D116" i="86"/>
  <c r="D126" i="86"/>
  <c r="E116" i="86"/>
  <c r="F116" i="86"/>
  <c r="G116" i="86"/>
  <c r="H116" i="86"/>
  <c r="I116" i="86"/>
  <c r="J116" i="86"/>
  <c r="K116" i="86"/>
  <c r="L116" i="86"/>
  <c r="M116" i="86"/>
  <c r="N116" i="86"/>
  <c r="O116" i="86"/>
  <c r="B117" i="86"/>
  <c r="D117" i="86"/>
  <c r="E117" i="86"/>
  <c r="F117" i="86"/>
  <c r="G117" i="86"/>
  <c r="H117" i="86"/>
  <c r="I117" i="86"/>
  <c r="J117" i="86"/>
  <c r="K117" i="86"/>
  <c r="L117" i="86"/>
  <c r="M117" i="86"/>
  <c r="N117" i="86"/>
  <c r="O117" i="86"/>
  <c r="B118" i="86"/>
  <c r="D118" i="86"/>
  <c r="D128" i="86"/>
  <c r="E128" i="86" s="1"/>
  <c r="E118" i="86"/>
  <c r="F118" i="86"/>
  <c r="G118" i="86"/>
  <c r="H118" i="86"/>
  <c r="I118" i="86"/>
  <c r="J118" i="86"/>
  <c r="K118" i="86"/>
  <c r="L118" i="86"/>
  <c r="M118" i="86"/>
  <c r="N118" i="86"/>
  <c r="O118" i="86"/>
  <c r="B119" i="86"/>
  <c r="D119" i="86"/>
  <c r="D129" i="86" s="1"/>
  <c r="E129" i="86" s="1"/>
  <c r="F129" i="86" s="1"/>
  <c r="G129" i="86" s="1"/>
  <c r="H129" i="86" s="1"/>
  <c r="I129" i="86" s="1"/>
  <c r="J129" i="86" s="1"/>
  <c r="K129" i="86" s="1"/>
  <c r="L129" i="86" s="1"/>
  <c r="M129" i="86" s="1"/>
  <c r="N129" i="86" s="1"/>
  <c r="O129" i="86" s="1"/>
  <c r="P129" i="86" s="1"/>
  <c r="E119" i="86"/>
  <c r="F119" i="86"/>
  <c r="G119" i="86"/>
  <c r="H119" i="86"/>
  <c r="I119" i="86"/>
  <c r="J119" i="86"/>
  <c r="K119" i="86"/>
  <c r="L119" i="86"/>
  <c r="M119" i="86"/>
  <c r="N119" i="86"/>
  <c r="O119" i="86"/>
  <c r="B120" i="86"/>
  <c r="D120" i="86"/>
  <c r="E120" i="86"/>
  <c r="F120" i="86"/>
  <c r="G120" i="86"/>
  <c r="H120" i="86"/>
  <c r="I120" i="86"/>
  <c r="J120" i="86"/>
  <c r="K120" i="86"/>
  <c r="L120" i="86"/>
  <c r="M120" i="86"/>
  <c r="N120" i="86"/>
  <c r="O120" i="86"/>
  <c r="B121" i="86"/>
  <c r="D121" i="86"/>
  <c r="E121" i="86"/>
  <c r="E131" i="86" s="1"/>
  <c r="F131" i="86" s="1"/>
  <c r="G131" i="86" s="1"/>
  <c r="H131" i="86" s="1"/>
  <c r="I131" i="86" s="1"/>
  <c r="J131" i="86" s="1"/>
  <c r="K131" i="86" s="1"/>
  <c r="L131" i="86" s="1"/>
  <c r="M131" i="86" s="1"/>
  <c r="N131" i="86" s="1"/>
  <c r="O131" i="86" s="1"/>
  <c r="P131" i="86" s="1"/>
  <c r="F121" i="86"/>
  <c r="G121" i="86"/>
  <c r="H121" i="86"/>
  <c r="I121" i="86"/>
  <c r="J121" i="86"/>
  <c r="K121" i="86"/>
  <c r="L121" i="86"/>
  <c r="M121" i="86"/>
  <c r="N121" i="86"/>
  <c r="O121" i="86"/>
  <c r="B125" i="86"/>
  <c r="B126" i="86"/>
  <c r="B127" i="86"/>
  <c r="D127" i="86"/>
  <c r="E127" i="86" s="1"/>
  <c r="F127" i="86" s="1"/>
  <c r="G127" i="86" s="1"/>
  <c r="H127" i="86" s="1"/>
  <c r="I127" i="86" s="1"/>
  <c r="J127" i="86" s="1"/>
  <c r="K127" i="86" s="1"/>
  <c r="L127" i="86" s="1"/>
  <c r="M127" i="86" s="1"/>
  <c r="N127" i="86" s="1"/>
  <c r="O127" i="86" s="1"/>
  <c r="P127" i="86" s="1"/>
  <c r="B128" i="86"/>
  <c r="B129" i="86"/>
  <c r="B130" i="86"/>
  <c r="B131" i="86"/>
  <c r="D131" i="86"/>
  <c r="B145" i="86"/>
  <c r="D145" i="86"/>
  <c r="D153" i="86"/>
  <c r="E153" i="86" s="1"/>
  <c r="F153" i="86" s="1"/>
  <c r="G153" i="86"/>
  <c r="H153" i="86" s="1"/>
  <c r="E145" i="86"/>
  <c r="F145" i="86"/>
  <c r="G145" i="86"/>
  <c r="H145" i="86"/>
  <c r="I145" i="86"/>
  <c r="J145" i="86"/>
  <c r="K145" i="86"/>
  <c r="L145" i="86"/>
  <c r="M145" i="86"/>
  <c r="N145" i="86"/>
  <c r="O145" i="86"/>
  <c r="B146" i="86"/>
  <c r="D146" i="86"/>
  <c r="E146" i="86"/>
  <c r="F146" i="86"/>
  <c r="G146" i="86"/>
  <c r="H146" i="86"/>
  <c r="I146" i="86"/>
  <c r="J146" i="86"/>
  <c r="K146" i="86"/>
  <c r="L146" i="86"/>
  <c r="M146" i="86"/>
  <c r="N146" i="86"/>
  <c r="O146" i="86"/>
  <c r="B147" i="86"/>
  <c r="D147" i="86"/>
  <c r="E147" i="86"/>
  <c r="F147" i="86"/>
  <c r="G147" i="86"/>
  <c r="H147" i="86"/>
  <c r="I147" i="86"/>
  <c r="J147" i="86"/>
  <c r="K147" i="86"/>
  <c r="L147" i="86"/>
  <c r="M147" i="86"/>
  <c r="N147" i="86"/>
  <c r="O147" i="86"/>
  <c r="B148" i="86"/>
  <c r="D148" i="86"/>
  <c r="E148" i="86"/>
  <c r="F148" i="86"/>
  <c r="G148" i="86"/>
  <c r="H148" i="86"/>
  <c r="I148" i="86"/>
  <c r="J148" i="86"/>
  <c r="K148" i="86"/>
  <c r="L148" i="86"/>
  <c r="M148" i="86"/>
  <c r="N148" i="86"/>
  <c r="O148" i="86"/>
  <c r="B149" i="86"/>
  <c r="D149" i="86"/>
  <c r="E149" i="86"/>
  <c r="F149" i="86"/>
  <c r="G149" i="86"/>
  <c r="H149" i="86"/>
  <c r="I149" i="86"/>
  <c r="J149" i="86"/>
  <c r="K149" i="86"/>
  <c r="L149" i="86"/>
  <c r="M149" i="86"/>
  <c r="N149" i="86"/>
  <c r="O149" i="86"/>
  <c r="B153" i="86"/>
  <c r="B154" i="86"/>
  <c r="B172" i="86"/>
  <c r="D154" i="86"/>
  <c r="E154" i="86" s="1"/>
  <c r="B155" i="86"/>
  <c r="B173" i="86" s="1"/>
  <c r="B156" i="86"/>
  <c r="B174" i="86"/>
  <c r="B157" i="86"/>
  <c r="B171" i="86"/>
  <c r="D171" i="86"/>
  <c r="D179" i="86" s="1"/>
  <c r="E179" i="86" s="1"/>
  <c r="F179" i="86" s="1"/>
  <c r="E171" i="86"/>
  <c r="F171" i="86"/>
  <c r="G171" i="86"/>
  <c r="H171" i="86"/>
  <c r="I171" i="86"/>
  <c r="J171" i="86"/>
  <c r="K171" i="86"/>
  <c r="L171" i="86"/>
  <c r="M171" i="86"/>
  <c r="N171" i="86"/>
  <c r="O171" i="86"/>
  <c r="D172" i="86"/>
  <c r="D180" i="86"/>
  <c r="E180" i="86" s="1"/>
  <c r="F180" i="86" s="1"/>
  <c r="G180" i="86" s="1"/>
  <c r="H180" i="86" s="1"/>
  <c r="I180" i="86" s="1"/>
  <c r="J180" i="86" s="1"/>
  <c r="E172" i="86"/>
  <c r="F172" i="86"/>
  <c r="G172" i="86"/>
  <c r="H172" i="86"/>
  <c r="I172" i="86"/>
  <c r="J172" i="86"/>
  <c r="K172" i="86"/>
  <c r="L172" i="86"/>
  <c r="M172" i="86"/>
  <c r="N172" i="86"/>
  <c r="O172" i="86"/>
  <c r="D173" i="86"/>
  <c r="D181" i="86" s="1"/>
  <c r="E181" i="86" s="1"/>
  <c r="F181" i="86" s="1"/>
  <c r="G181" i="86" s="1"/>
  <c r="H181" i="86" s="1"/>
  <c r="I181" i="86" s="1"/>
  <c r="J181" i="86" s="1"/>
  <c r="K181" i="86" s="1"/>
  <c r="L181" i="86" s="1"/>
  <c r="M181" i="86" s="1"/>
  <c r="N181" i="86" s="1"/>
  <c r="O181" i="86" s="1"/>
  <c r="P181" i="86" s="1"/>
  <c r="E173" i="86"/>
  <c r="F173" i="86"/>
  <c r="G173" i="86"/>
  <c r="H173" i="86"/>
  <c r="I173" i="86"/>
  <c r="J173" i="86"/>
  <c r="K173" i="86"/>
  <c r="L173" i="86"/>
  <c r="M173" i="86"/>
  <c r="N173" i="86"/>
  <c r="O173" i="86"/>
  <c r="D174" i="86"/>
  <c r="E174" i="86"/>
  <c r="F174" i="86"/>
  <c r="G174" i="86"/>
  <c r="H174" i="86"/>
  <c r="I174" i="86"/>
  <c r="J174" i="86"/>
  <c r="K174" i="86"/>
  <c r="L174" i="86"/>
  <c r="M174" i="86"/>
  <c r="N174" i="86"/>
  <c r="O174" i="86"/>
  <c r="B175" i="86"/>
  <c r="D175" i="86"/>
  <c r="E175" i="86"/>
  <c r="F175" i="86"/>
  <c r="G175" i="86"/>
  <c r="H175" i="86"/>
  <c r="I175" i="86"/>
  <c r="J175" i="86"/>
  <c r="K175" i="86"/>
  <c r="L175" i="86"/>
  <c r="M175" i="86"/>
  <c r="N175" i="86"/>
  <c r="O175" i="86"/>
  <c r="B179" i="86"/>
  <c r="B180" i="86"/>
  <c r="B181" i="86"/>
  <c r="B182" i="86"/>
  <c r="B183" i="86"/>
  <c r="D183" i="86"/>
  <c r="E183" i="86" s="1"/>
  <c r="F183" i="86" s="1"/>
  <c r="G183" i="86" s="1"/>
  <c r="H183" i="86" s="1"/>
  <c r="I183" i="86" s="1"/>
  <c r="J183" i="86" s="1"/>
  <c r="K183" i="86" s="1"/>
  <c r="L183" i="86" s="1"/>
  <c r="M183" i="86" s="1"/>
  <c r="N183" i="86" s="1"/>
  <c r="O183" i="86" s="1"/>
  <c r="P183" i="86" s="1"/>
  <c r="B197" i="86"/>
  <c r="D197" i="86"/>
  <c r="E197" i="86"/>
  <c r="F197" i="86"/>
  <c r="G197" i="86"/>
  <c r="H197" i="86"/>
  <c r="I197" i="86"/>
  <c r="J197" i="86"/>
  <c r="K197" i="86"/>
  <c r="L197" i="86"/>
  <c r="M197" i="86"/>
  <c r="N197" i="86"/>
  <c r="O197" i="86"/>
  <c r="B198" i="86"/>
  <c r="D198" i="86"/>
  <c r="E198" i="86"/>
  <c r="F198" i="86"/>
  <c r="G198" i="86"/>
  <c r="H198" i="86"/>
  <c r="I198" i="86"/>
  <c r="J198" i="86"/>
  <c r="K198" i="86"/>
  <c r="L198" i="86"/>
  <c r="M198" i="86"/>
  <c r="N198" i="86"/>
  <c r="O198" i="86"/>
  <c r="B199" i="86"/>
  <c r="D199" i="86"/>
  <c r="E199" i="86"/>
  <c r="F199" i="86"/>
  <c r="G199" i="86"/>
  <c r="H199" i="86"/>
  <c r="I199" i="86"/>
  <c r="J199" i="86"/>
  <c r="K199" i="86"/>
  <c r="L199" i="86"/>
  <c r="M199" i="86"/>
  <c r="N199" i="86"/>
  <c r="O199" i="86"/>
  <c r="B200" i="86"/>
  <c r="D200" i="86"/>
  <c r="E200" i="86"/>
  <c r="F200" i="86"/>
  <c r="G200" i="86"/>
  <c r="H200" i="86"/>
  <c r="I200" i="86"/>
  <c r="J200" i="86"/>
  <c r="K200" i="86"/>
  <c r="L200" i="86"/>
  <c r="M200" i="86"/>
  <c r="N200" i="86"/>
  <c r="O200" i="86"/>
  <c r="B201" i="86"/>
  <c r="D201" i="86"/>
  <c r="E201" i="86"/>
  <c r="F201" i="86"/>
  <c r="G201" i="86"/>
  <c r="H201" i="86"/>
  <c r="I201" i="86"/>
  <c r="J201" i="86"/>
  <c r="K201" i="86"/>
  <c r="L201" i="86"/>
  <c r="M201" i="86"/>
  <c r="N201" i="86"/>
  <c r="O201" i="86"/>
  <c r="B205" i="86"/>
  <c r="B206" i="86"/>
  <c r="D206" i="86"/>
  <c r="E206" i="86" s="1"/>
  <c r="F206" i="86" s="1"/>
  <c r="G206" i="86" s="1"/>
  <c r="B207" i="86"/>
  <c r="B208" i="86"/>
  <c r="D208" i="86"/>
  <c r="B209" i="86"/>
  <c r="B223" i="86"/>
  <c r="D223" i="86"/>
  <c r="E223" i="86"/>
  <c r="F223" i="86"/>
  <c r="G223" i="86"/>
  <c r="H223" i="86"/>
  <c r="I223" i="86"/>
  <c r="J223" i="86"/>
  <c r="K223" i="86"/>
  <c r="L223" i="86"/>
  <c r="M223" i="86"/>
  <c r="N223" i="86"/>
  <c r="O223" i="86"/>
  <c r="B224" i="86"/>
  <c r="D224" i="86"/>
  <c r="E224" i="86"/>
  <c r="F224" i="86"/>
  <c r="G224" i="86"/>
  <c r="H224" i="86"/>
  <c r="I224" i="86"/>
  <c r="J224" i="86"/>
  <c r="K224" i="86"/>
  <c r="L224" i="86"/>
  <c r="M224" i="86"/>
  <c r="N224" i="86"/>
  <c r="O224" i="86"/>
  <c r="B225" i="86"/>
  <c r="D225" i="86"/>
  <c r="E225" i="86"/>
  <c r="F225" i="86"/>
  <c r="G225" i="86"/>
  <c r="H225" i="86"/>
  <c r="I225" i="86"/>
  <c r="J225" i="86"/>
  <c r="K225" i="86"/>
  <c r="L225" i="86"/>
  <c r="M225" i="86"/>
  <c r="N225" i="86"/>
  <c r="O225" i="86"/>
  <c r="B226" i="86"/>
  <c r="D226" i="86"/>
  <c r="E226" i="86"/>
  <c r="F226" i="86"/>
  <c r="G226" i="86"/>
  <c r="H226" i="86"/>
  <c r="I226" i="86"/>
  <c r="J226" i="86"/>
  <c r="K226" i="86"/>
  <c r="L226" i="86"/>
  <c r="M226" i="86"/>
  <c r="N226" i="86"/>
  <c r="O226" i="86"/>
  <c r="B227" i="86"/>
  <c r="D227" i="86"/>
  <c r="D235" i="86" s="1"/>
  <c r="E235" i="86" s="1"/>
  <c r="F235" i="86" s="1"/>
  <c r="E227" i="86"/>
  <c r="F227" i="86"/>
  <c r="G227" i="86"/>
  <c r="H227" i="86"/>
  <c r="I227" i="86"/>
  <c r="J227" i="86"/>
  <c r="K227" i="86"/>
  <c r="L227" i="86"/>
  <c r="M227" i="86"/>
  <c r="N227" i="86"/>
  <c r="O227" i="86"/>
  <c r="B231" i="86"/>
  <c r="D231" i="86"/>
  <c r="B232" i="86"/>
  <c r="B233" i="86"/>
  <c r="D233" i="86"/>
  <c r="E233" i="86" s="1"/>
  <c r="F233" i="86" s="1"/>
  <c r="G233" i="86"/>
  <c r="H233" i="86" s="1"/>
  <c r="B234" i="86"/>
  <c r="B235" i="86"/>
  <c r="B249" i="86"/>
  <c r="D249" i="86"/>
  <c r="E249" i="86"/>
  <c r="F249" i="86"/>
  <c r="G249" i="86"/>
  <c r="H249" i="86"/>
  <c r="I249" i="86"/>
  <c r="J249" i="86"/>
  <c r="K249" i="86"/>
  <c r="L249" i="86"/>
  <c r="M249" i="86"/>
  <c r="N249" i="86"/>
  <c r="O249" i="86"/>
  <c r="B250" i="86"/>
  <c r="D250" i="86"/>
  <c r="D258" i="86" s="1"/>
  <c r="E250" i="86"/>
  <c r="F250" i="86"/>
  <c r="G250" i="86"/>
  <c r="H250" i="86"/>
  <c r="I250" i="86"/>
  <c r="J250" i="86"/>
  <c r="K250" i="86"/>
  <c r="L250" i="86"/>
  <c r="M250" i="86"/>
  <c r="N250" i="86"/>
  <c r="O250" i="86"/>
  <c r="B251" i="86"/>
  <c r="D251" i="86"/>
  <c r="D259" i="86"/>
  <c r="E251" i="86"/>
  <c r="F251" i="86"/>
  <c r="G251" i="86"/>
  <c r="H251" i="86"/>
  <c r="I251" i="86"/>
  <c r="J251" i="86"/>
  <c r="K251" i="86"/>
  <c r="L251" i="86"/>
  <c r="M251" i="86"/>
  <c r="N251" i="86"/>
  <c r="O251" i="86"/>
  <c r="B252" i="86"/>
  <c r="D252" i="86"/>
  <c r="E252" i="86"/>
  <c r="F252" i="86"/>
  <c r="G252" i="86"/>
  <c r="H252" i="86"/>
  <c r="I252" i="86"/>
  <c r="J252" i="86"/>
  <c r="K252" i="86"/>
  <c r="L252" i="86"/>
  <c r="M252" i="86"/>
  <c r="N252" i="86"/>
  <c r="O252" i="86"/>
  <c r="B253" i="86"/>
  <c r="D253" i="86"/>
  <c r="E253" i="86"/>
  <c r="F253" i="86"/>
  <c r="G253" i="86"/>
  <c r="H253" i="86"/>
  <c r="I253" i="86"/>
  <c r="J253" i="86"/>
  <c r="K253" i="86"/>
  <c r="L253" i="86"/>
  <c r="M253" i="86"/>
  <c r="N253" i="86"/>
  <c r="O253" i="86"/>
  <c r="B257" i="86"/>
  <c r="B258" i="86"/>
  <c r="B259" i="86"/>
  <c r="B260" i="86"/>
  <c r="D260" i="86"/>
  <c r="B261" i="86"/>
  <c r="B275" i="86"/>
  <c r="D275" i="86"/>
  <c r="E275" i="86"/>
  <c r="F275" i="86"/>
  <c r="G275" i="86"/>
  <c r="H275" i="86"/>
  <c r="I275" i="86"/>
  <c r="J275" i="86"/>
  <c r="K275" i="86"/>
  <c r="L275" i="86"/>
  <c r="M275" i="86"/>
  <c r="N275" i="86"/>
  <c r="O275" i="86"/>
  <c r="B276" i="86"/>
  <c r="D276" i="86"/>
  <c r="E276" i="86"/>
  <c r="F276" i="86"/>
  <c r="G276" i="86"/>
  <c r="H276" i="86"/>
  <c r="I276" i="86"/>
  <c r="J276" i="86"/>
  <c r="K276" i="86"/>
  <c r="L276" i="86"/>
  <c r="M276" i="86"/>
  <c r="N276" i="86"/>
  <c r="O276" i="86"/>
  <c r="B277" i="86"/>
  <c r="D277" i="86"/>
  <c r="D285" i="86" s="1"/>
  <c r="E285" i="86" s="1"/>
  <c r="F285" i="86" s="1"/>
  <c r="G285" i="86" s="1"/>
  <c r="H285" i="86" s="1"/>
  <c r="I285" i="86" s="1"/>
  <c r="J285" i="86" s="1"/>
  <c r="K285" i="86" s="1"/>
  <c r="L285" i="86" s="1"/>
  <c r="M285" i="86" s="1"/>
  <c r="N285" i="86" s="1"/>
  <c r="O285" i="86" s="1"/>
  <c r="P285" i="86" s="1"/>
  <c r="E277" i="86"/>
  <c r="F277" i="86"/>
  <c r="G277" i="86"/>
  <c r="H277" i="86"/>
  <c r="I277" i="86"/>
  <c r="J277" i="86"/>
  <c r="K277" i="86"/>
  <c r="L277" i="86"/>
  <c r="M277" i="86"/>
  <c r="N277" i="86"/>
  <c r="O277" i="86"/>
  <c r="B278" i="86"/>
  <c r="D278" i="86"/>
  <c r="E278" i="86"/>
  <c r="F278" i="86"/>
  <c r="G278" i="86"/>
  <c r="H278" i="86"/>
  <c r="I278" i="86"/>
  <c r="J278" i="86"/>
  <c r="K278" i="86"/>
  <c r="L278" i="86"/>
  <c r="M278" i="86"/>
  <c r="N278" i="86"/>
  <c r="O278" i="86"/>
  <c r="B279" i="86"/>
  <c r="D279" i="86"/>
  <c r="E279" i="86"/>
  <c r="F279" i="86"/>
  <c r="G279" i="86"/>
  <c r="H279" i="86"/>
  <c r="I279" i="86"/>
  <c r="J279" i="86"/>
  <c r="K279" i="86"/>
  <c r="L279" i="86"/>
  <c r="M279" i="86"/>
  <c r="N279" i="86"/>
  <c r="O279" i="86"/>
  <c r="B283" i="86"/>
  <c r="D283" i="86"/>
  <c r="B284" i="86"/>
  <c r="B285" i="86"/>
  <c r="B286" i="86"/>
  <c r="B287" i="86"/>
  <c r="D287" i="86"/>
  <c r="E287" i="86"/>
  <c r="F287" i="86"/>
  <c r="B301" i="86"/>
  <c r="D301" i="86"/>
  <c r="P301" i="86" s="1"/>
  <c r="E301" i="86"/>
  <c r="F301" i="86"/>
  <c r="G301" i="86"/>
  <c r="H301" i="86"/>
  <c r="I301" i="86"/>
  <c r="J301" i="86"/>
  <c r="K301" i="86"/>
  <c r="L301" i="86"/>
  <c r="M301" i="86"/>
  <c r="N301" i="86"/>
  <c r="O301" i="86"/>
  <c r="B302" i="86"/>
  <c r="D302" i="86"/>
  <c r="D310" i="86" s="1"/>
  <c r="E302" i="86"/>
  <c r="F302" i="86"/>
  <c r="G302" i="86"/>
  <c r="H302" i="86"/>
  <c r="I302" i="86"/>
  <c r="J302" i="86"/>
  <c r="K302" i="86"/>
  <c r="L302" i="86"/>
  <c r="M302" i="86"/>
  <c r="N302" i="86"/>
  <c r="O302" i="86"/>
  <c r="B303" i="86"/>
  <c r="D303" i="86"/>
  <c r="E303" i="86"/>
  <c r="F303" i="86"/>
  <c r="G303" i="86"/>
  <c r="H303" i="86"/>
  <c r="I303" i="86"/>
  <c r="J303" i="86"/>
  <c r="K303" i="86"/>
  <c r="L303" i="86"/>
  <c r="M303" i="86"/>
  <c r="N303" i="86"/>
  <c r="O303" i="86"/>
  <c r="B304" i="86"/>
  <c r="D304" i="86"/>
  <c r="D312" i="86" s="1"/>
  <c r="E304" i="86"/>
  <c r="F304" i="86"/>
  <c r="G304" i="86"/>
  <c r="H304" i="86"/>
  <c r="I304" i="86"/>
  <c r="J304" i="86"/>
  <c r="K304" i="86"/>
  <c r="L304" i="86"/>
  <c r="M304" i="86"/>
  <c r="N304" i="86"/>
  <c r="O304" i="86"/>
  <c r="B305" i="86"/>
  <c r="D305" i="86"/>
  <c r="E305" i="86"/>
  <c r="F305" i="86"/>
  <c r="G305" i="86"/>
  <c r="H305" i="86"/>
  <c r="I305" i="86"/>
  <c r="J305" i="86"/>
  <c r="K305" i="86"/>
  <c r="L305" i="86"/>
  <c r="M305" i="86"/>
  <c r="N305" i="86"/>
  <c r="O305" i="86"/>
  <c r="B309" i="86"/>
  <c r="B310" i="86"/>
  <c r="E310" i="86"/>
  <c r="F310" i="86" s="1"/>
  <c r="G310" i="86" s="1"/>
  <c r="H310" i="86" s="1"/>
  <c r="I310" i="86" s="1"/>
  <c r="J310" i="86" s="1"/>
  <c r="K310" i="86" s="1"/>
  <c r="L310" i="86" s="1"/>
  <c r="M310" i="86"/>
  <c r="N310" i="86" s="1"/>
  <c r="O310" i="86" s="1"/>
  <c r="P310" i="86" s="1"/>
  <c r="B311" i="86"/>
  <c r="B312" i="86"/>
  <c r="B313" i="86"/>
  <c r="B327" i="86"/>
  <c r="D327" i="86"/>
  <c r="E327" i="86"/>
  <c r="F327" i="86"/>
  <c r="G327" i="86"/>
  <c r="H327" i="86"/>
  <c r="I327" i="86"/>
  <c r="J327" i="86"/>
  <c r="K327" i="86"/>
  <c r="L327" i="86"/>
  <c r="M327" i="86"/>
  <c r="N327" i="86"/>
  <c r="O327" i="86"/>
  <c r="B328" i="86"/>
  <c r="D328" i="86"/>
  <c r="D336" i="86" s="1"/>
  <c r="E336" i="86" s="1"/>
  <c r="F336" i="86" s="1"/>
  <c r="G336" i="86" s="1"/>
  <c r="H336" i="86"/>
  <c r="I336" i="86" s="1"/>
  <c r="J336" i="86" s="1"/>
  <c r="E328" i="86"/>
  <c r="F328" i="86"/>
  <c r="G328" i="86"/>
  <c r="H328" i="86"/>
  <c r="I328" i="86"/>
  <c r="J328" i="86"/>
  <c r="K328" i="86"/>
  <c r="L328" i="86"/>
  <c r="M328" i="86"/>
  <c r="N328" i="86"/>
  <c r="O328" i="86"/>
  <c r="B329" i="86"/>
  <c r="D329" i="86"/>
  <c r="D337" i="86"/>
  <c r="E329" i="86"/>
  <c r="F329" i="86"/>
  <c r="G329" i="86"/>
  <c r="H329" i="86"/>
  <c r="I329" i="86"/>
  <c r="J329" i="86"/>
  <c r="K329" i="86"/>
  <c r="L329" i="86"/>
  <c r="M329" i="86"/>
  <c r="N329" i="86"/>
  <c r="O329" i="86"/>
  <c r="B330" i="86"/>
  <c r="D330" i="86"/>
  <c r="D338" i="86"/>
  <c r="E338" i="86" s="1"/>
  <c r="F338" i="86" s="1"/>
  <c r="G338" i="86"/>
  <c r="H338" i="86" s="1"/>
  <c r="E330" i="86"/>
  <c r="F330" i="86"/>
  <c r="G330" i="86"/>
  <c r="H330" i="86"/>
  <c r="I330" i="86"/>
  <c r="J330" i="86"/>
  <c r="K330" i="86"/>
  <c r="L330" i="86"/>
  <c r="M330" i="86"/>
  <c r="N330" i="86"/>
  <c r="O330" i="86"/>
  <c r="B331" i="86"/>
  <c r="D331" i="86"/>
  <c r="D339" i="86" s="1"/>
  <c r="E339" i="86" s="1"/>
  <c r="E331" i="86"/>
  <c r="F331" i="86"/>
  <c r="G331" i="86"/>
  <c r="H331" i="86"/>
  <c r="I331" i="86"/>
  <c r="J331" i="86"/>
  <c r="K331" i="86"/>
  <c r="L331" i="86"/>
  <c r="M331" i="86"/>
  <c r="N331" i="86"/>
  <c r="O331" i="86"/>
  <c r="B335" i="86"/>
  <c r="D335" i="86"/>
  <c r="B336" i="86"/>
  <c r="B337" i="86"/>
  <c r="B338" i="86"/>
  <c r="B339" i="86"/>
  <c r="A356" i="86"/>
  <c r="A357" i="86"/>
  <c r="A358" i="86" s="1"/>
  <c r="A359" i="86" s="1"/>
  <c r="A360" i="86" s="1"/>
  <c r="A361" i="86" s="1"/>
  <c r="A365" i="86" s="1"/>
  <c r="A366" i="86" s="1"/>
  <c r="A367" i="86" s="1"/>
  <c r="A368" i="86" s="1"/>
  <c r="A369" i="86" s="1"/>
  <c r="A370" i="86" s="1"/>
  <c r="A371" i="86" s="1"/>
  <c r="A375" i="86" s="1"/>
  <c r="A376" i="86" s="1"/>
  <c r="A377" i="86" s="1"/>
  <c r="A378" i="86" s="1"/>
  <c r="A379" i="86" s="1"/>
  <c r="A380" i="86" s="1"/>
  <c r="A381" i="86" s="1"/>
  <c r="A387" i="86" s="1"/>
  <c r="A388" i="86" s="1"/>
  <c r="A389" i="86" s="1"/>
  <c r="A390" i="86" s="1"/>
  <c r="A391" i="86" s="1"/>
  <c r="A392" i="86" s="1"/>
  <c r="A393" i="86" s="1"/>
  <c r="A397" i="86" s="1"/>
  <c r="A398" i="86" s="1"/>
  <c r="A399" i="86" s="1"/>
  <c r="A400" i="86" s="1"/>
  <c r="A401" i="86" s="1"/>
  <c r="A402" i="86" s="1"/>
  <c r="A403" i="86" s="1"/>
  <c r="A407" i="86" s="1"/>
  <c r="A408" i="86" s="1"/>
  <c r="A409" i="86" s="1"/>
  <c r="A410" i="86" s="1"/>
  <c r="A411" i="86" s="1"/>
  <c r="A412" i="86" s="1"/>
  <c r="A413" i="86" s="1"/>
  <c r="A418" i="86" s="1"/>
  <c r="A419" i="86" s="1"/>
  <c r="A420" i="86" s="1"/>
  <c r="A421" i="86" s="1"/>
  <c r="A422" i="86" s="1"/>
  <c r="A423" i="86" s="1"/>
  <c r="A424" i="86" s="1"/>
  <c r="A428" i="86" s="1"/>
  <c r="A429" i="86" s="1"/>
  <c r="A430" i="86" s="1"/>
  <c r="A431" i="86" s="1"/>
  <c r="A432" i="86" s="1"/>
  <c r="A433" i="86" s="1"/>
  <c r="A434" i="86" s="1"/>
  <c r="A438" i="86" s="1"/>
  <c r="A439" i="86" s="1"/>
  <c r="A440" i="86" s="1"/>
  <c r="A441" i="86" s="1"/>
  <c r="A442" i="86" s="1"/>
  <c r="A443" i="86" s="1"/>
  <c r="A444" i="86" s="1"/>
  <c r="A450" i="86" s="1"/>
  <c r="A451" i="86" s="1"/>
  <c r="A452" i="86" s="1"/>
  <c r="A453" i="86" s="1"/>
  <c r="A454" i="86" s="1"/>
  <c r="A455" i="86" s="1"/>
  <c r="A456" i="86" s="1"/>
  <c r="A460" i="86" s="1"/>
  <c r="A461" i="86" s="1"/>
  <c r="A462" i="86" s="1"/>
  <c r="A463" i="86" s="1"/>
  <c r="A464" i="86" s="1"/>
  <c r="A465" i="86" s="1"/>
  <c r="A466" i="86" s="1"/>
  <c r="A470" i="86" s="1"/>
  <c r="A471" i="86" s="1"/>
  <c r="A472" i="86" s="1"/>
  <c r="A473" i="86" s="1"/>
  <c r="A474" i="86" s="1"/>
  <c r="A475" i="86" s="1"/>
  <c r="A476" i="86" s="1"/>
  <c r="A482" i="86" s="1"/>
  <c r="A483" i="86" s="1"/>
  <c r="A484" i="86" s="1"/>
  <c r="A485" i="86" s="1"/>
  <c r="A486" i="86" s="1"/>
  <c r="A487" i="86" s="1"/>
  <c r="A491" i="86" s="1"/>
  <c r="A492" i="86" s="1"/>
  <c r="A493" i="86" s="1"/>
  <c r="A494" i="86" s="1"/>
  <c r="A495" i="86" s="1"/>
  <c r="A496" i="86" s="1"/>
  <c r="A500" i="86" s="1"/>
  <c r="A501" i="86" s="1"/>
  <c r="A502" i="86" s="1"/>
  <c r="A503" i="86" s="1"/>
  <c r="A504" i="86" s="1"/>
  <c r="A505" i="86" s="1"/>
  <c r="A511" i="86" s="1"/>
  <c r="A512" i="86" s="1"/>
  <c r="A513" i="86" s="1"/>
  <c r="A514" i="86" s="1"/>
  <c r="A515" i="86" s="1"/>
  <c r="A516" i="86" s="1"/>
  <c r="A520" i="86" s="1"/>
  <c r="A521" i="86" s="1"/>
  <c r="A522" i="86" s="1"/>
  <c r="A523" i="86" s="1"/>
  <c r="A524" i="86" s="1"/>
  <c r="A525" i="86" s="1"/>
  <c r="A529" i="86" s="1"/>
  <c r="A530" i="86" s="1"/>
  <c r="A531" i="86" s="1"/>
  <c r="A532" i="86" s="1"/>
  <c r="A533" i="86" s="1"/>
  <c r="A534" i="86" s="1"/>
  <c r="A541" i="86" s="1"/>
  <c r="A542" i="86" s="1"/>
  <c r="A543" i="86" s="1"/>
  <c r="A544" i="86" s="1"/>
  <c r="A545" i="86" s="1"/>
  <c r="A546" i="86" s="1"/>
  <c r="A550" i="86" s="1"/>
  <c r="A551" i="86" s="1"/>
  <c r="A552" i="86" s="1"/>
  <c r="A553" i="86" s="1"/>
  <c r="A554" i="86" s="1"/>
  <c r="A555" i="86" s="1"/>
  <c r="A559" i="86" s="1"/>
  <c r="A560" i="86" s="1"/>
  <c r="A561" i="86" s="1"/>
  <c r="A562" i="86" s="1"/>
  <c r="A563" i="86" s="1"/>
  <c r="A564" i="86" s="1"/>
  <c r="A570" i="86" s="1"/>
  <c r="A571" i="86" s="1"/>
  <c r="A572" i="86" s="1"/>
  <c r="A573" i="86" s="1"/>
  <c r="A574" i="86" s="1"/>
  <c r="A577" i="86" s="1"/>
  <c r="A578" i="86" s="1"/>
  <c r="A579" i="86" s="1"/>
  <c r="A580" i="86" s="1"/>
  <c r="A581" i="86" s="1"/>
  <c r="A585" i="86" s="1"/>
  <c r="A586" i="86" s="1"/>
  <c r="A587" i="86" s="1"/>
  <c r="A588" i="86" s="1"/>
  <c r="A589" i="86" s="1"/>
  <c r="A595" i="86" s="1"/>
  <c r="A599" i="86" s="1"/>
  <c r="A603" i="86" s="1"/>
  <c r="B365" i="86"/>
  <c r="D365" i="86"/>
  <c r="D375" i="86" s="1"/>
  <c r="E375" i="86" s="1"/>
  <c r="F375" i="86" s="1"/>
  <c r="E365" i="86"/>
  <c r="F365" i="86"/>
  <c r="G365" i="86"/>
  <c r="H365" i="86"/>
  <c r="I365" i="86"/>
  <c r="J365" i="86"/>
  <c r="K365" i="86"/>
  <c r="L365" i="86"/>
  <c r="M365" i="86"/>
  <c r="N365" i="86"/>
  <c r="O365" i="86"/>
  <c r="B366" i="86"/>
  <c r="D366" i="86"/>
  <c r="D376" i="86" s="1"/>
  <c r="E376" i="86" s="1"/>
  <c r="F376" i="86" s="1"/>
  <c r="G376" i="86" s="1"/>
  <c r="H376" i="86" s="1"/>
  <c r="I376" i="86" s="1"/>
  <c r="J376" i="86" s="1"/>
  <c r="K376" i="86" s="1"/>
  <c r="L376" i="86" s="1"/>
  <c r="M376" i="86" s="1"/>
  <c r="N376" i="86" s="1"/>
  <c r="O376" i="86" s="1"/>
  <c r="P376" i="86" s="1"/>
  <c r="E366" i="86"/>
  <c r="F366" i="86"/>
  <c r="G366" i="86"/>
  <c r="H366" i="86"/>
  <c r="I366" i="86"/>
  <c r="J366" i="86"/>
  <c r="K366" i="86"/>
  <c r="L366" i="86"/>
  <c r="M366" i="86"/>
  <c r="N366" i="86"/>
  <c r="O366" i="86"/>
  <c r="B367" i="86"/>
  <c r="D367" i="86"/>
  <c r="D377" i="86"/>
  <c r="E377" i="86"/>
  <c r="E367" i="86"/>
  <c r="F367" i="86"/>
  <c r="G367" i="86"/>
  <c r="H367" i="86"/>
  <c r="I367" i="86"/>
  <c r="J367" i="86"/>
  <c r="K367" i="86"/>
  <c r="L367" i="86"/>
  <c r="M367" i="86"/>
  <c r="N367" i="86"/>
  <c r="O367" i="86"/>
  <c r="B368" i="86"/>
  <c r="D368" i="86"/>
  <c r="E368" i="86"/>
  <c r="F368" i="86"/>
  <c r="G368" i="86"/>
  <c r="H368" i="86"/>
  <c r="I368" i="86"/>
  <c r="J368" i="86"/>
  <c r="K368" i="86"/>
  <c r="L368" i="86"/>
  <c r="M368" i="86"/>
  <c r="N368" i="86"/>
  <c r="O368" i="86"/>
  <c r="B369" i="86"/>
  <c r="D369" i="86"/>
  <c r="E369" i="86"/>
  <c r="F369" i="86"/>
  <c r="G369" i="86"/>
  <c r="H369" i="86"/>
  <c r="I369" i="86"/>
  <c r="J369" i="86"/>
  <c r="K369" i="86"/>
  <c r="L369" i="86"/>
  <c r="M369" i="86"/>
  <c r="N369" i="86"/>
  <c r="O369" i="86"/>
  <c r="B370" i="86"/>
  <c r="D370" i="86"/>
  <c r="D380" i="86" s="1"/>
  <c r="E370" i="86"/>
  <c r="F370" i="86"/>
  <c r="G370" i="86"/>
  <c r="H370" i="86"/>
  <c r="I370" i="86"/>
  <c r="J370" i="86"/>
  <c r="K370" i="86"/>
  <c r="L370" i="86"/>
  <c r="M370" i="86"/>
  <c r="N370" i="86"/>
  <c r="O370" i="86"/>
  <c r="B371" i="86"/>
  <c r="D371" i="86"/>
  <c r="D381" i="86"/>
  <c r="E381" i="86" s="1"/>
  <c r="F381" i="86" s="1"/>
  <c r="G381" i="86"/>
  <c r="H381" i="86" s="1"/>
  <c r="I381" i="86" s="1"/>
  <c r="J381" i="86" s="1"/>
  <c r="E371" i="86"/>
  <c r="F371" i="86"/>
  <c r="G371" i="86"/>
  <c r="H371" i="86"/>
  <c r="I371" i="86"/>
  <c r="J371" i="86"/>
  <c r="K371" i="86"/>
  <c r="L371" i="86"/>
  <c r="M371" i="86"/>
  <c r="N371" i="86"/>
  <c r="O371" i="86"/>
  <c r="B375" i="86"/>
  <c r="B376" i="86"/>
  <c r="B377" i="86"/>
  <c r="B378" i="86"/>
  <c r="D378" i="86"/>
  <c r="E378" i="86" s="1"/>
  <c r="F378" i="86" s="1"/>
  <c r="G378" i="86"/>
  <c r="H378" i="86" s="1"/>
  <c r="I378" i="86" s="1"/>
  <c r="J378" i="86" s="1"/>
  <c r="K378" i="86" s="1"/>
  <c r="L378" i="86" s="1"/>
  <c r="M378" i="86" s="1"/>
  <c r="N378" i="86" s="1"/>
  <c r="O378" i="86" s="1"/>
  <c r="P378" i="86" s="1"/>
  <c r="B379" i="86"/>
  <c r="B380" i="86"/>
  <c r="B381" i="86"/>
  <c r="B397" i="86"/>
  <c r="D397" i="86"/>
  <c r="D407" i="86"/>
  <c r="E407" i="86"/>
  <c r="F407" i="86" s="1"/>
  <c r="G407" i="86" s="1"/>
  <c r="H407" i="86" s="1"/>
  <c r="I407" i="86" s="1"/>
  <c r="J407" i="86" s="1"/>
  <c r="K407" i="86" s="1"/>
  <c r="L407" i="86" s="1"/>
  <c r="M407" i="86" s="1"/>
  <c r="N407" i="86" s="1"/>
  <c r="O407" i="86" s="1"/>
  <c r="P407" i="86" s="1"/>
  <c r="E397" i="86"/>
  <c r="F397" i="86"/>
  <c r="G397" i="86"/>
  <c r="H397" i="86"/>
  <c r="I397" i="86"/>
  <c r="J397" i="86"/>
  <c r="K397" i="86"/>
  <c r="L397" i="86"/>
  <c r="M397" i="86"/>
  <c r="N397" i="86"/>
  <c r="O397" i="86"/>
  <c r="B398" i="86"/>
  <c r="D398" i="86"/>
  <c r="E398" i="86"/>
  <c r="F398" i="86"/>
  <c r="G398" i="86"/>
  <c r="H398" i="86"/>
  <c r="I398" i="86"/>
  <c r="J398" i="86"/>
  <c r="K398" i="86"/>
  <c r="L398" i="86"/>
  <c r="M398" i="86"/>
  <c r="N398" i="86"/>
  <c r="O398" i="86"/>
  <c r="B399" i="86"/>
  <c r="D399" i="86"/>
  <c r="D409" i="86" s="1"/>
  <c r="E409" i="86" s="1"/>
  <c r="F409" i="86"/>
  <c r="G409" i="86" s="1"/>
  <c r="H409" i="86" s="1"/>
  <c r="I409" i="86" s="1"/>
  <c r="J409" i="86" s="1"/>
  <c r="E399" i="86"/>
  <c r="F399" i="86"/>
  <c r="G399" i="86"/>
  <c r="H399" i="86"/>
  <c r="I399" i="86"/>
  <c r="J399" i="86"/>
  <c r="K399" i="86"/>
  <c r="L399" i="86"/>
  <c r="M399" i="86"/>
  <c r="N399" i="86"/>
  <c r="O399" i="86"/>
  <c r="B400" i="86"/>
  <c r="D400" i="86"/>
  <c r="E400" i="86"/>
  <c r="F400" i="86"/>
  <c r="G400" i="86"/>
  <c r="H400" i="86"/>
  <c r="I400" i="86"/>
  <c r="J400" i="86"/>
  <c r="K400" i="86"/>
  <c r="L400" i="86"/>
  <c r="M400" i="86"/>
  <c r="N400" i="86"/>
  <c r="O400" i="86"/>
  <c r="B401" i="86"/>
  <c r="D401" i="86"/>
  <c r="E401" i="86"/>
  <c r="F401" i="86"/>
  <c r="G401" i="86"/>
  <c r="H401" i="86"/>
  <c r="I401" i="86"/>
  <c r="J401" i="86"/>
  <c r="K401" i="86"/>
  <c r="L401" i="86"/>
  <c r="M401" i="86"/>
  <c r="N401" i="86"/>
  <c r="O401" i="86"/>
  <c r="B402" i="86"/>
  <c r="D402" i="86"/>
  <c r="E402" i="86"/>
  <c r="F402" i="86"/>
  <c r="G402" i="86"/>
  <c r="H402" i="86"/>
  <c r="I402" i="86"/>
  <c r="J402" i="86"/>
  <c r="K402" i="86"/>
  <c r="L402" i="86"/>
  <c r="M402" i="86"/>
  <c r="N402" i="86"/>
  <c r="O402" i="86"/>
  <c r="B403" i="86"/>
  <c r="D403" i="86"/>
  <c r="E403" i="86"/>
  <c r="F403" i="86"/>
  <c r="G403" i="86"/>
  <c r="H403" i="86"/>
  <c r="I403" i="86"/>
  <c r="J403" i="86"/>
  <c r="K403" i="86"/>
  <c r="L403" i="86"/>
  <c r="M403" i="86"/>
  <c r="N403" i="86"/>
  <c r="O403" i="86"/>
  <c r="B407" i="86"/>
  <c r="B408" i="86"/>
  <c r="B409" i="86"/>
  <c r="K409" i="86"/>
  <c r="L409" i="86" s="1"/>
  <c r="M409" i="86" s="1"/>
  <c r="N409" i="86" s="1"/>
  <c r="O409" i="86" s="1"/>
  <c r="P409" i="86" s="1"/>
  <c r="B410" i="86"/>
  <c r="D410" i="86"/>
  <c r="E410" i="86"/>
  <c r="F410" i="86" s="1"/>
  <c r="G410" i="86" s="1"/>
  <c r="H410" i="86" s="1"/>
  <c r="I410" i="86" s="1"/>
  <c r="J410" i="86" s="1"/>
  <c r="K410" i="86" s="1"/>
  <c r="L410" i="86" s="1"/>
  <c r="M410" i="86" s="1"/>
  <c r="N410" i="86" s="1"/>
  <c r="O410" i="86" s="1"/>
  <c r="P410" i="86" s="1"/>
  <c r="B411" i="86"/>
  <c r="D411" i="86"/>
  <c r="E411" i="86" s="1"/>
  <c r="F411" i="86" s="1"/>
  <c r="G411" i="86" s="1"/>
  <c r="H411" i="86" s="1"/>
  <c r="I411" i="86" s="1"/>
  <c r="J411" i="86" s="1"/>
  <c r="K411" i="86" s="1"/>
  <c r="L411" i="86" s="1"/>
  <c r="M411" i="86" s="1"/>
  <c r="N411" i="86" s="1"/>
  <c r="O411" i="86" s="1"/>
  <c r="P411" i="86" s="1"/>
  <c r="B412" i="86"/>
  <c r="B413" i="86"/>
  <c r="B428" i="86"/>
  <c r="D428" i="86"/>
  <c r="D438" i="86" s="1"/>
  <c r="E438" i="86" s="1"/>
  <c r="F438" i="86" s="1"/>
  <c r="G438" i="86" s="1"/>
  <c r="E428" i="86"/>
  <c r="F428" i="86"/>
  <c r="G428" i="86"/>
  <c r="H428" i="86"/>
  <c r="I428" i="86"/>
  <c r="J428" i="86"/>
  <c r="K428" i="86"/>
  <c r="L428" i="86"/>
  <c r="M428" i="86"/>
  <c r="N428" i="86"/>
  <c r="O428" i="86"/>
  <c r="B429" i="86"/>
  <c r="D429" i="86"/>
  <c r="D439" i="86" s="1"/>
  <c r="E429" i="86"/>
  <c r="F429" i="86"/>
  <c r="G429" i="86"/>
  <c r="H429" i="86"/>
  <c r="I429" i="86"/>
  <c r="J429" i="86"/>
  <c r="K429" i="86"/>
  <c r="L429" i="86"/>
  <c r="M429" i="86"/>
  <c r="N429" i="86"/>
  <c r="O429" i="86"/>
  <c r="B430" i="86"/>
  <c r="D430" i="86"/>
  <c r="E430" i="86"/>
  <c r="F430" i="86"/>
  <c r="G430" i="86"/>
  <c r="H430" i="86"/>
  <c r="I430" i="86"/>
  <c r="J430" i="86"/>
  <c r="K430" i="86"/>
  <c r="L430" i="86"/>
  <c r="M430" i="86"/>
  <c r="N430" i="86"/>
  <c r="O430" i="86"/>
  <c r="B431" i="86"/>
  <c r="D431" i="86"/>
  <c r="E431" i="86"/>
  <c r="F431" i="86"/>
  <c r="G431" i="86"/>
  <c r="H431" i="86"/>
  <c r="I431" i="86"/>
  <c r="J431" i="86"/>
  <c r="K431" i="86"/>
  <c r="L431" i="86"/>
  <c r="M431" i="86"/>
  <c r="N431" i="86"/>
  <c r="O431" i="86"/>
  <c r="B432" i="86"/>
  <c r="D432" i="86"/>
  <c r="E432" i="86"/>
  <c r="F432" i="86"/>
  <c r="G432" i="86"/>
  <c r="H432" i="86"/>
  <c r="I432" i="86"/>
  <c r="J432" i="86"/>
  <c r="K432" i="86"/>
  <c r="L432" i="86"/>
  <c r="M432" i="86"/>
  <c r="N432" i="86"/>
  <c r="O432" i="86"/>
  <c r="B433" i="86"/>
  <c r="D433" i="86"/>
  <c r="E433" i="86"/>
  <c r="F433" i="86"/>
  <c r="G433" i="86"/>
  <c r="H433" i="86"/>
  <c r="I433" i="86"/>
  <c r="J433" i="86"/>
  <c r="K433" i="86"/>
  <c r="L433" i="86"/>
  <c r="M433" i="86"/>
  <c r="N433" i="86"/>
  <c r="O433" i="86"/>
  <c r="B434" i="86"/>
  <c r="D434" i="86"/>
  <c r="E434" i="86"/>
  <c r="F434" i="86"/>
  <c r="G434" i="86"/>
  <c r="H434" i="86"/>
  <c r="I434" i="86"/>
  <c r="J434" i="86"/>
  <c r="K434" i="86"/>
  <c r="L434" i="86"/>
  <c r="M434" i="86"/>
  <c r="N434" i="86"/>
  <c r="O434" i="86"/>
  <c r="B438" i="86"/>
  <c r="H438" i="86"/>
  <c r="I438" i="86"/>
  <c r="B439" i="86"/>
  <c r="B440" i="86"/>
  <c r="D440" i="86"/>
  <c r="B441" i="86"/>
  <c r="D441" i="86"/>
  <c r="B442" i="86"/>
  <c r="D442" i="86"/>
  <c r="E442" i="86"/>
  <c r="F442" i="86" s="1"/>
  <c r="G442" i="86" s="1"/>
  <c r="H442" i="86" s="1"/>
  <c r="I442" i="86" s="1"/>
  <c r="J442" i="86" s="1"/>
  <c r="K442" i="86" s="1"/>
  <c r="L442" i="86" s="1"/>
  <c r="M442" i="86" s="1"/>
  <c r="N442" i="86" s="1"/>
  <c r="O442" i="86" s="1"/>
  <c r="P442" i="86" s="1"/>
  <c r="B443" i="86"/>
  <c r="D443" i="86"/>
  <c r="E443" i="86" s="1"/>
  <c r="F443" i="86" s="1"/>
  <c r="G443" i="86" s="1"/>
  <c r="H443" i="86" s="1"/>
  <c r="I443" i="86" s="1"/>
  <c r="J443" i="86" s="1"/>
  <c r="K443" i="86" s="1"/>
  <c r="L443" i="86" s="1"/>
  <c r="M443" i="86" s="1"/>
  <c r="N443" i="86" s="1"/>
  <c r="O443" i="86" s="1"/>
  <c r="P443" i="86" s="1"/>
  <c r="B444" i="86"/>
  <c r="D444" i="86"/>
  <c r="B460" i="86"/>
  <c r="D460" i="86"/>
  <c r="D470" i="86" s="1"/>
  <c r="E470" i="86" s="1"/>
  <c r="F470" i="86" s="1"/>
  <c r="E460" i="86"/>
  <c r="F460" i="86"/>
  <c r="G460" i="86"/>
  <c r="H460" i="86"/>
  <c r="I460" i="86"/>
  <c r="J460" i="86"/>
  <c r="K460" i="86"/>
  <c r="L460" i="86"/>
  <c r="M460" i="86"/>
  <c r="N460" i="86"/>
  <c r="O460" i="86"/>
  <c r="B461" i="86"/>
  <c r="D461" i="86"/>
  <c r="D471" i="86" s="1"/>
  <c r="E471" i="86" s="1"/>
  <c r="F471" i="86" s="1"/>
  <c r="E461" i="86"/>
  <c r="F461" i="86"/>
  <c r="G461" i="86"/>
  <c r="P461" i="86" s="1"/>
  <c r="H461" i="86"/>
  <c r="I461" i="86"/>
  <c r="J461" i="86"/>
  <c r="K461" i="86"/>
  <c r="L461" i="86"/>
  <c r="M461" i="86"/>
  <c r="N461" i="86"/>
  <c r="O461" i="86"/>
  <c r="B462" i="86"/>
  <c r="D462" i="86"/>
  <c r="E462" i="86"/>
  <c r="F462" i="86"/>
  <c r="G462" i="86"/>
  <c r="H462" i="86"/>
  <c r="I462" i="86"/>
  <c r="J462" i="86"/>
  <c r="K462" i="86"/>
  <c r="L462" i="86"/>
  <c r="M462" i="86"/>
  <c r="N462" i="86"/>
  <c r="O462" i="86"/>
  <c r="B463" i="86"/>
  <c r="D463" i="86"/>
  <c r="D473" i="86" s="1"/>
  <c r="E473" i="86" s="1"/>
  <c r="F473" i="86" s="1"/>
  <c r="G473" i="86" s="1"/>
  <c r="H473" i="86" s="1"/>
  <c r="I473" i="86" s="1"/>
  <c r="E463" i="86"/>
  <c r="F463" i="86"/>
  <c r="G463" i="86"/>
  <c r="H463" i="86"/>
  <c r="I463" i="86"/>
  <c r="J463" i="86"/>
  <c r="K463" i="86"/>
  <c r="L463" i="86"/>
  <c r="M463" i="86"/>
  <c r="N463" i="86"/>
  <c r="O463" i="86"/>
  <c r="B464" i="86"/>
  <c r="D464" i="86"/>
  <c r="E464" i="86"/>
  <c r="F464" i="86"/>
  <c r="G464" i="86"/>
  <c r="H464" i="86"/>
  <c r="I464" i="86"/>
  <c r="J464" i="86"/>
  <c r="K464" i="86"/>
  <c r="L464" i="86"/>
  <c r="M464" i="86"/>
  <c r="N464" i="86"/>
  <c r="O464" i="86"/>
  <c r="B465" i="86"/>
  <c r="D465" i="86"/>
  <c r="D475" i="86"/>
  <c r="E475" i="86" s="1"/>
  <c r="F475" i="86" s="1"/>
  <c r="E465" i="86"/>
  <c r="F465" i="86"/>
  <c r="G465" i="86"/>
  <c r="H465" i="86"/>
  <c r="I465" i="86"/>
  <c r="J465" i="86"/>
  <c r="K465" i="86"/>
  <c r="L465" i="86"/>
  <c r="M465" i="86"/>
  <c r="N465" i="86"/>
  <c r="O465" i="86"/>
  <c r="B466" i="86"/>
  <c r="D466" i="86"/>
  <c r="E466" i="86"/>
  <c r="F466" i="86"/>
  <c r="G466" i="86"/>
  <c r="H466" i="86"/>
  <c r="I466" i="86"/>
  <c r="J466" i="86"/>
  <c r="K466" i="86"/>
  <c r="L466" i="86"/>
  <c r="M466" i="86"/>
  <c r="N466" i="86"/>
  <c r="O466" i="86"/>
  <c r="B470" i="86"/>
  <c r="B471" i="86"/>
  <c r="B472" i="86"/>
  <c r="B473" i="86"/>
  <c r="J473" i="86"/>
  <c r="K473" i="86" s="1"/>
  <c r="L473" i="86" s="1"/>
  <c r="M473" i="86" s="1"/>
  <c r="N473" i="86" s="1"/>
  <c r="O473" i="86" s="1"/>
  <c r="P473" i="86" s="1"/>
  <c r="B474" i="86"/>
  <c r="B475" i="86"/>
  <c r="B476" i="86"/>
  <c r="D476" i="86"/>
  <c r="E476" i="86"/>
  <c r="F476" i="86" s="1"/>
  <c r="G476" i="86" s="1"/>
  <c r="H476" i="86" s="1"/>
  <c r="I476" i="86" s="1"/>
  <c r="J476" i="86"/>
  <c r="K476" i="86"/>
  <c r="L476" i="86" s="1"/>
  <c r="M476" i="86" s="1"/>
  <c r="N476" i="86" s="1"/>
  <c r="O476" i="86" s="1"/>
  <c r="P476" i="86" s="1"/>
  <c r="B491" i="86"/>
  <c r="D491" i="86"/>
  <c r="D500" i="86" s="1"/>
  <c r="E500" i="86" s="1"/>
  <c r="F500" i="86" s="1"/>
  <c r="G500" i="86" s="1"/>
  <c r="H500" i="86" s="1"/>
  <c r="I500" i="86" s="1"/>
  <c r="J500" i="86" s="1"/>
  <c r="K500" i="86" s="1"/>
  <c r="L500" i="86" s="1"/>
  <c r="M500" i="86" s="1"/>
  <c r="N500" i="86" s="1"/>
  <c r="O500" i="86" s="1"/>
  <c r="P500" i="86" s="1"/>
  <c r="E491" i="86"/>
  <c r="F491" i="86"/>
  <c r="G491" i="86"/>
  <c r="H491" i="86"/>
  <c r="I491" i="86"/>
  <c r="J491" i="86"/>
  <c r="K491" i="86"/>
  <c r="L491" i="86"/>
  <c r="M491" i="86"/>
  <c r="N491" i="86"/>
  <c r="O491" i="86"/>
  <c r="B492" i="86"/>
  <c r="D492" i="86"/>
  <c r="D501" i="86" s="1"/>
  <c r="E501" i="86" s="1"/>
  <c r="E492" i="86"/>
  <c r="F492" i="86"/>
  <c r="G492" i="86"/>
  <c r="H492" i="86"/>
  <c r="I492" i="86"/>
  <c r="J492" i="86"/>
  <c r="K492" i="86"/>
  <c r="L492" i="86"/>
  <c r="M492" i="86"/>
  <c r="N492" i="86"/>
  <c r="O492" i="86"/>
  <c r="B493" i="86"/>
  <c r="D493" i="86"/>
  <c r="E493" i="86"/>
  <c r="F493" i="86"/>
  <c r="G493" i="86"/>
  <c r="H493" i="86"/>
  <c r="I493" i="86"/>
  <c r="J493" i="86"/>
  <c r="K493" i="86"/>
  <c r="L493" i="86"/>
  <c r="M493" i="86"/>
  <c r="N493" i="86"/>
  <c r="O493" i="86"/>
  <c r="B494" i="86"/>
  <c r="D494" i="86"/>
  <c r="E494" i="86"/>
  <c r="F494" i="86"/>
  <c r="G494" i="86"/>
  <c r="H494" i="86"/>
  <c r="I494" i="86"/>
  <c r="J494" i="86"/>
  <c r="K494" i="86"/>
  <c r="L494" i="86"/>
  <c r="M494" i="86"/>
  <c r="N494" i="86"/>
  <c r="O494" i="86"/>
  <c r="B495" i="86"/>
  <c r="D495" i="86"/>
  <c r="E495" i="86"/>
  <c r="F495" i="86"/>
  <c r="G495" i="86"/>
  <c r="H495" i="86"/>
  <c r="I495" i="86"/>
  <c r="J495" i="86"/>
  <c r="K495" i="86"/>
  <c r="L495" i="86"/>
  <c r="M495" i="86"/>
  <c r="N495" i="86"/>
  <c r="O495" i="86"/>
  <c r="B496" i="86"/>
  <c r="D496" i="86"/>
  <c r="D505" i="86" s="1"/>
  <c r="E505" i="86" s="1"/>
  <c r="F505" i="86" s="1"/>
  <c r="E496" i="86"/>
  <c r="F496" i="86"/>
  <c r="G496" i="86"/>
  <c r="H496" i="86"/>
  <c r="I496" i="86"/>
  <c r="J496" i="86"/>
  <c r="K496" i="86"/>
  <c r="L496" i="86"/>
  <c r="M496" i="86"/>
  <c r="N496" i="86"/>
  <c r="O496" i="86"/>
  <c r="B500" i="86"/>
  <c r="B501" i="86"/>
  <c r="B502" i="86"/>
  <c r="B503" i="86"/>
  <c r="D503" i="86"/>
  <c r="E503" i="86" s="1"/>
  <c r="B504" i="86"/>
  <c r="B505" i="86"/>
  <c r="B520" i="86"/>
  <c r="D520" i="86"/>
  <c r="D529" i="86" s="1"/>
  <c r="E529" i="86" s="1"/>
  <c r="E520" i="86"/>
  <c r="F520" i="86"/>
  <c r="G520" i="86"/>
  <c r="H520" i="86"/>
  <c r="I520" i="86"/>
  <c r="J520" i="86"/>
  <c r="K520" i="86"/>
  <c r="L520" i="86"/>
  <c r="M520" i="86"/>
  <c r="N520" i="86"/>
  <c r="O520" i="86"/>
  <c r="B521" i="86"/>
  <c r="D521" i="86"/>
  <c r="E521" i="86"/>
  <c r="E530" i="86" s="1"/>
  <c r="F530" i="86" s="1"/>
  <c r="G530" i="86" s="1"/>
  <c r="H530" i="86" s="1"/>
  <c r="F521" i="86"/>
  <c r="G521" i="86"/>
  <c r="H521" i="86"/>
  <c r="I521" i="86"/>
  <c r="J521" i="86"/>
  <c r="K521" i="86"/>
  <c r="L521" i="86"/>
  <c r="M521" i="86"/>
  <c r="N521" i="86"/>
  <c r="O521" i="86"/>
  <c r="B522" i="86"/>
  <c r="D522" i="86"/>
  <c r="D531" i="86"/>
  <c r="E522" i="86"/>
  <c r="F522" i="86"/>
  <c r="G522" i="86"/>
  <c r="H522" i="86"/>
  <c r="I522" i="86"/>
  <c r="J522" i="86"/>
  <c r="K522" i="86"/>
  <c r="L522" i="86"/>
  <c r="M522" i="86"/>
  <c r="N522" i="86"/>
  <c r="O522" i="86"/>
  <c r="B523" i="86"/>
  <c r="D523" i="86"/>
  <c r="D532" i="86"/>
  <c r="E532" i="86" s="1"/>
  <c r="E523" i="86"/>
  <c r="F523" i="86"/>
  <c r="F532" i="86" s="1"/>
  <c r="G532" i="86" s="1"/>
  <c r="G523" i="86"/>
  <c r="H523" i="86"/>
  <c r="I523" i="86"/>
  <c r="J523" i="86"/>
  <c r="K523" i="86"/>
  <c r="L523" i="86"/>
  <c r="M523" i="86"/>
  <c r="N523" i="86"/>
  <c r="O523" i="86"/>
  <c r="B524" i="86"/>
  <c r="D524" i="86"/>
  <c r="D533" i="86" s="1"/>
  <c r="E533" i="86" s="1"/>
  <c r="F533" i="86" s="1"/>
  <c r="G533" i="86" s="1"/>
  <c r="H533" i="86" s="1"/>
  <c r="I533" i="86" s="1"/>
  <c r="J533" i="86" s="1"/>
  <c r="K533" i="86" s="1"/>
  <c r="L533" i="86" s="1"/>
  <c r="M533" i="86" s="1"/>
  <c r="N533" i="86" s="1"/>
  <c r="O533" i="86" s="1"/>
  <c r="P533" i="86" s="1"/>
  <c r="E524" i="86"/>
  <c r="F524" i="86"/>
  <c r="G524" i="86"/>
  <c r="H524" i="86"/>
  <c r="I524" i="86"/>
  <c r="J524" i="86"/>
  <c r="K524" i="86"/>
  <c r="L524" i="86"/>
  <c r="M524" i="86"/>
  <c r="N524" i="86"/>
  <c r="O524" i="86"/>
  <c r="B525" i="86"/>
  <c r="D525" i="86"/>
  <c r="D534" i="86" s="1"/>
  <c r="E534" i="86" s="1"/>
  <c r="E525" i="86"/>
  <c r="F525" i="86"/>
  <c r="G525" i="86"/>
  <c r="H525" i="86"/>
  <c r="I525" i="86"/>
  <c r="J525" i="86"/>
  <c r="K525" i="86"/>
  <c r="L525" i="86"/>
  <c r="M525" i="86"/>
  <c r="N525" i="86"/>
  <c r="O525" i="86"/>
  <c r="B529" i="86"/>
  <c r="B530" i="86"/>
  <c r="D530" i="86"/>
  <c r="B531" i="86"/>
  <c r="B532" i="86"/>
  <c r="B533" i="86"/>
  <c r="B534" i="86"/>
  <c r="B550" i="86"/>
  <c r="D550" i="86"/>
  <c r="D559" i="86" s="1"/>
  <c r="E559" i="86"/>
  <c r="F559" i="86" s="1"/>
  <c r="G559" i="86"/>
  <c r="H559" i="86" s="1"/>
  <c r="I559" i="86" s="1"/>
  <c r="J559" i="86" s="1"/>
  <c r="E550" i="86"/>
  <c r="F550" i="86"/>
  <c r="G550" i="86"/>
  <c r="H550" i="86"/>
  <c r="I550" i="86"/>
  <c r="J550" i="86"/>
  <c r="K550" i="86"/>
  <c r="L550" i="86"/>
  <c r="M550" i="86"/>
  <c r="N550" i="86"/>
  <c r="O550" i="86"/>
  <c r="B551" i="86"/>
  <c r="D551" i="86"/>
  <c r="D560" i="86"/>
  <c r="E551" i="86"/>
  <c r="F551" i="86"/>
  <c r="G551" i="86"/>
  <c r="H551" i="86"/>
  <c r="I551" i="86"/>
  <c r="J551" i="86"/>
  <c r="K551" i="86"/>
  <c r="L551" i="86"/>
  <c r="M551" i="86"/>
  <c r="N551" i="86"/>
  <c r="O551" i="86"/>
  <c r="B552" i="86"/>
  <c r="D552" i="86"/>
  <c r="E552" i="86"/>
  <c r="F552" i="86"/>
  <c r="G552" i="86"/>
  <c r="H552" i="86"/>
  <c r="I552" i="86"/>
  <c r="J552" i="86"/>
  <c r="K552" i="86"/>
  <c r="L552" i="86"/>
  <c r="M552" i="86"/>
  <c r="N552" i="86"/>
  <c r="O552" i="86"/>
  <c r="B553" i="86"/>
  <c r="D553" i="86"/>
  <c r="E553" i="86"/>
  <c r="F553" i="86"/>
  <c r="G553" i="86"/>
  <c r="H553" i="86"/>
  <c r="I553" i="86"/>
  <c r="J553" i="86"/>
  <c r="K553" i="86"/>
  <c r="L553" i="86"/>
  <c r="M553" i="86"/>
  <c r="N553" i="86"/>
  <c r="O553" i="86"/>
  <c r="B554" i="86"/>
  <c r="D554" i="86"/>
  <c r="D563" i="86"/>
  <c r="E563" i="86" s="1"/>
  <c r="F563" i="86" s="1"/>
  <c r="G563" i="86" s="1"/>
  <c r="E554" i="86"/>
  <c r="F554" i="86"/>
  <c r="G554" i="86"/>
  <c r="H554" i="86"/>
  <c r="I554" i="86"/>
  <c r="J554" i="86"/>
  <c r="K554" i="86"/>
  <c r="L554" i="86"/>
  <c r="M554" i="86"/>
  <c r="N554" i="86"/>
  <c r="O554" i="86"/>
  <c r="B555" i="86"/>
  <c r="D555" i="86"/>
  <c r="D564" i="86"/>
  <c r="E564" i="86" s="1"/>
  <c r="E555" i="86"/>
  <c r="F555" i="86"/>
  <c r="G555" i="86"/>
  <c r="H555" i="86"/>
  <c r="I555" i="86"/>
  <c r="J555" i="86"/>
  <c r="K555" i="86"/>
  <c r="L555" i="86"/>
  <c r="M555" i="86"/>
  <c r="N555" i="86"/>
  <c r="O555" i="86"/>
  <c r="B559" i="86"/>
  <c r="B560" i="86"/>
  <c r="B561" i="86"/>
  <c r="D561" i="86"/>
  <c r="B562" i="86"/>
  <c r="D562" i="86"/>
  <c r="E562" i="86"/>
  <c r="B563" i="86"/>
  <c r="B564" i="86"/>
  <c r="B577" i="86"/>
  <c r="D577" i="86"/>
  <c r="E577" i="86"/>
  <c r="F577" i="86"/>
  <c r="G577" i="86"/>
  <c r="H577" i="86"/>
  <c r="I577" i="86"/>
  <c r="J577" i="86"/>
  <c r="K577" i="86"/>
  <c r="L577" i="86"/>
  <c r="M577" i="86"/>
  <c r="N577" i="86"/>
  <c r="O577" i="86"/>
  <c r="B578" i="86"/>
  <c r="D578" i="86"/>
  <c r="E578" i="86"/>
  <c r="F578" i="86"/>
  <c r="G578" i="86"/>
  <c r="H578" i="86"/>
  <c r="I578" i="86"/>
  <c r="J578" i="86"/>
  <c r="K578" i="86"/>
  <c r="L578" i="86"/>
  <c r="M578" i="86"/>
  <c r="N578" i="86"/>
  <c r="O578" i="86"/>
  <c r="B579" i="86"/>
  <c r="D579" i="86"/>
  <c r="D587" i="86" s="1"/>
  <c r="E579" i="86"/>
  <c r="F579" i="86"/>
  <c r="G579" i="86"/>
  <c r="H579" i="86"/>
  <c r="I579" i="86"/>
  <c r="J579" i="86"/>
  <c r="K579" i="86"/>
  <c r="L579" i="86"/>
  <c r="M579" i="86"/>
  <c r="N579" i="86"/>
  <c r="O579" i="86"/>
  <c r="B580" i="86"/>
  <c r="D580" i="86"/>
  <c r="D588" i="86"/>
  <c r="E580" i="86"/>
  <c r="F580" i="86"/>
  <c r="G580" i="86"/>
  <c r="H580" i="86"/>
  <c r="I580" i="86"/>
  <c r="J580" i="86"/>
  <c r="K580" i="86"/>
  <c r="L580" i="86"/>
  <c r="M580" i="86"/>
  <c r="N580" i="86"/>
  <c r="O580" i="86"/>
  <c r="B581" i="86"/>
  <c r="D581" i="86"/>
  <c r="D589" i="86"/>
  <c r="E589" i="86" s="1"/>
  <c r="E581" i="86"/>
  <c r="F581" i="86"/>
  <c r="G581" i="86"/>
  <c r="H581" i="86"/>
  <c r="I581" i="86"/>
  <c r="J581" i="86"/>
  <c r="K581" i="86"/>
  <c r="L581" i="86"/>
  <c r="M581" i="86"/>
  <c r="N581" i="86"/>
  <c r="O581" i="86"/>
  <c r="B585" i="86"/>
  <c r="D585" i="86"/>
  <c r="E585" i="86" s="1"/>
  <c r="F585" i="86" s="1"/>
  <c r="G585" i="86" s="1"/>
  <c r="H585" i="86" s="1"/>
  <c r="I585" i="86" s="1"/>
  <c r="J585" i="86" s="1"/>
  <c r="K585" i="86" s="1"/>
  <c r="L585" i="86" s="1"/>
  <c r="M585" i="86" s="1"/>
  <c r="N585" i="86" s="1"/>
  <c r="O585" i="86" s="1"/>
  <c r="P585" i="86" s="1"/>
  <c r="B586" i="86"/>
  <c r="D586" i="86"/>
  <c r="E586" i="86" s="1"/>
  <c r="F586" i="86" s="1"/>
  <c r="B587" i="86"/>
  <c r="B588" i="86"/>
  <c r="B589" i="86"/>
  <c r="B599" i="86"/>
  <c r="D599" i="86"/>
  <c r="D603" i="86"/>
  <c r="E603" i="86" s="1"/>
  <c r="E599" i="86"/>
  <c r="F599" i="86"/>
  <c r="G599" i="86"/>
  <c r="H599" i="86"/>
  <c r="I599" i="86"/>
  <c r="J599" i="86"/>
  <c r="K599" i="86"/>
  <c r="L599" i="86"/>
  <c r="M599" i="86"/>
  <c r="N599" i="86"/>
  <c r="O599" i="86"/>
  <c r="B603" i="86"/>
  <c r="A2" i="85"/>
  <c r="G45" i="85"/>
  <c r="I45" i="85" s="1"/>
  <c r="A2" i="38"/>
  <c r="B12" i="38"/>
  <c r="C12" i="38"/>
  <c r="E12" i="38"/>
  <c r="I12" i="38" s="1"/>
  <c r="D11" i="65" s="1"/>
  <c r="A13" i="38"/>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75" i="38" s="1"/>
  <c r="A76" i="38" s="1"/>
  <c r="A77" i="38" s="1"/>
  <c r="A78" i="38" s="1"/>
  <c r="A79" i="38" s="1"/>
  <c r="A80" i="38" s="1"/>
  <c r="A81" i="38" s="1"/>
  <c r="A82" i="38" s="1"/>
  <c r="A83" i="38" s="1"/>
  <c r="A8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141" i="38" s="1"/>
  <c r="A142" i="38" s="1"/>
  <c r="A143" i="38" s="1"/>
  <c r="A144" i="38" s="1"/>
  <c r="A145" i="38" s="1"/>
  <c r="A146" i="38" s="1"/>
  <c r="A147" i="38" s="1"/>
  <c r="A148" i="38" s="1"/>
  <c r="A149" i="38" s="1"/>
  <c r="A150" i="38" s="1"/>
  <c r="A151" i="38" s="1"/>
  <c r="A152" i="38" s="1"/>
  <c r="A153" i="38" s="1"/>
  <c r="A154" i="38" s="1"/>
  <c r="A155" i="38" s="1"/>
  <c r="A156" i="38" s="1"/>
  <c r="A157" i="38" s="1"/>
  <c r="A158" i="38" s="1"/>
  <c r="A159" i="38" s="1"/>
  <c r="A160" i="38" s="1"/>
  <c r="A161" i="38" s="1"/>
  <c r="A162" i="38" s="1"/>
  <c r="A163" i="38" s="1"/>
  <c r="A164" i="38" s="1"/>
  <c r="A165" i="38" s="1"/>
  <c r="A166" i="38" s="1"/>
  <c r="A167" i="38" s="1"/>
  <c r="A168" i="38" s="1"/>
  <c r="A169" i="38" s="1"/>
  <c r="A170" i="38" s="1"/>
  <c r="A171" i="38" s="1"/>
  <c r="A172" i="38" s="1"/>
  <c r="A173" i="38" s="1"/>
  <c r="A174" i="38" s="1"/>
  <c r="A175" i="38" s="1"/>
  <c r="A176" i="38" s="1"/>
  <c r="A177" i="38" s="1"/>
  <c r="A178" i="38" s="1"/>
  <c r="A179" i="38" s="1"/>
  <c r="A180" i="38" s="1"/>
  <c r="A181" i="38" s="1"/>
  <c r="A182" i="38" s="1"/>
  <c r="A183" i="38" s="1"/>
  <c r="A184" i="38" s="1"/>
  <c r="A185" i="38" s="1"/>
  <c r="A186" i="38" s="1"/>
  <c r="A187" i="38" s="1"/>
  <c r="A188" i="38" s="1"/>
  <c r="A189" i="38" s="1"/>
  <c r="A190" i="38" s="1"/>
  <c r="A191" i="38" s="1"/>
  <c r="A192" i="38" s="1"/>
  <c r="A193" i="38" s="1"/>
  <c r="A194" i="38" s="1"/>
  <c r="A195" i="38" s="1"/>
  <c r="A196" i="38" s="1"/>
  <c r="A197" i="38" s="1"/>
  <c r="A198" i="38" s="1"/>
  <c r="A199" i="38" s="1"/>
  <c r="A200" i="38" s="1"/>
  <c r="A201" i="38" s="1"/>
  <c r="A202" i="38" s="1"/>
  <c r="A203" i="38" s="1"/>
  <c r="A204" i="38" s="1"/>
  <c r="A205" i="38" s="1"/>
  <c r="A206" i="38" s="1"/>
  <c r="A207" i="38" s="1"/>
  <c r="A208" i="38" s="1"/>
  <c r="A209" i="38" s="1"/>
  <c r="A210" i="38" s="1"/>
  <c r="A211" i="38" s="1"/>
  <c r="A212" i="38" s="1"/>
  <c r="A213" i="38" s="1"/>
  <c r="A214" i="38" s="1"/>
  <c r="A215" i="38" s="1"/>
  <c r="A216" i="38" s="1"/>
  <c r="A217" i="38" s="1"/>
  <c r="A218" i="38" s="1"/>
  <c r="A219" i="38" s="1"/>
  <c r="A220" i="38" s="1"/>
  <c r="A221" i="38" s="1"/>
  <c r="A222" i="38" s="1"/>
  <c r="A223" i="38" s="1"/>
  <c r="A224" i="38" s="1"/>
  <c r="A225" i="38" s="1"/>
  <c r="A226" i="38" s="1"/>
  <c r="A227" i="38" s="1"/>
  <c r="A228" i="38" s="1"/>
  <c r="A229" i="38" s="1"/>
  <c r="A230" i="38" s="1"/>
  <c r="A231" i="38" s="1"/>
  <c r="A232" i="38" s="1"/>
  <c r="A233" i="38" s="1"/>
  <c r="A234" i="38" s="1"/>
  <c r="A235" i="38" s="1"/>
  <c r="A236" i="38" s="1"/>
  <c r="A237" i="38" s="1"/>
  <c r="A238" i="38" s="1"/>
  <c r="A239" i="38" s="1"/>
  <c r="A240" i="38" s="1"/>
  <c r="A241" i="38" s="1"/>
  <c r="A242" i="38" s="1"/>
  <c r="A243" i="38" s="1"/>
  <c r="A244" i="38" s="1"/>
  <c r="A245" i="38" s="1"/>
  <c r="A246" i="38" s="1"/>
  <c r="A247" i="38" s="1"/>
  <c r="A248" i="38" s="1"/>
  <c r="A249" i="38" s="1"/>
  <c r="A250" i="38" s="1"/>
  <c r="A251" i="38" s="1"/>
  <c r="A252" i="38" s="1"/>
  <c r="A253" i="38" s="1"/>
  <c r="A254" i="38" s="1"/>
  <c r="A255" i="38" s="1"/>
  <c r="A256" i="38" s="1"/>
  <c r="A257" i="38" s="1"/>
  <c r="A258" i="38" s="1"/>
  <c r="A259" i="38" s="1"/>
  <c r="A260" i="38" s="1"/>
  <c r="A261" i="38" s="1"/>
  <c r="A262" i="38" s="1"/>
  <c r="A263" i="38" s="1"/>
  <c r="A264" i="38" s="1"/>
  <c r="A265" i="38" s="1"/>
  <c r="A266" i="38" s="1"/>
  <c r="A267" i="38" s="1"/>
  <c r="A268" i="38" s="1"/>
  <c r="A269" i="38" s="1"/>
  <c r="A270" i="38" s="1"/>
  <c r="A271" i="38" s="1"/>
  <c r="A272" i="38" s="1"/>
  <c r="A273" i="38" s="1"/>
  <c r="A274" i="38" s="1"/>
  <c r="A275" i="38" s="1"/>
  <c r="A276" i="38" s="1"/>
  <c r="A277" i="38" s="1"/>
  <c r="A278" i="38" s="1"/>
  <c r="A279" i="38" s="1"/>
  <c r="A280" i="38" s="1"/>
  <c r="A281" i="38" s="1"/>
  <c r="A282" i="38" s="1"/>
  <c r="A283" i="38" s="1"/>
  <c r="A284" i="38" s="1"/>
  <c r="A285" i="38" s="1"/>
  <c r="A286" i="38" s="1"/>
  <c r="A287" i="38" s="1"/>
  <c r="A288" i="38" s="1"/>
  <c r="A289" i="38" s="1"/>
  <c r="A290" i="38" s="1"/>
  <c r="A291" i="38" s="1"/>
  <c r="A292" i="38" s="1"/>
  <c r="A293" i="38" s="1"/>
  <c r="A294" i="38" s="1"/>
  <c r="A295" i="38" s="1"/>
  <c r="A296" i="38" s="1"/>
  <c r="A297" i="38" s="1"/>
  <c r="A298" i="38" s="1"/>
  <c r="A299" i="38" s="1"/>
  <c r="A300" i="38" s="1"/>
  <c r="A301" i="38" s="1"/>
  <c r="A302" i="38" s="1"/>
  <c r="A303" i="38" s="1"/>
  <c r="A304" i="38" s="1"/>
  <c r="A305" i="38" s="1"/>
  <c r="A306" i="38" s="1"/>
  <c r="A307" i="38" s="1"/>
  <c r="A308" i="38" s="1"/>
  <c r="A309" i="38" s="1"/>
  <c r="A310" i="38" s="1"/>
  <c r="A311" i="38" s="1"/>
  <c r="A312" i="38" s="1"/>
  <c r="A313" i="38" s="1"/>
  <c r="A314" i="38" s="1"/>
  <c r="A315" i="38" s="1"/>
  <c r="A316" i="38" s="1"/>
  <c r="A317" i="38" s="1"/>
  <c r="A318" i="38" s="1"/>
  <c r="A319" i="38" s="1"/>
  <c r="A320" i="38" s="1"/>
  <c r="A321" i="38" s="1"/>
  <c r="B13" i="38"/>
  <c r="C13" i="38"/>
  <c r="E13" i="38"/>
  <c r="I13" i="38" s="1"/>
  <c r="D12" i="65" s="1"/>
  <c r="G12" i="65" s="1"/>
  <c r="B14" i="38"/>
  <c r="C14" i="38"/>
  <c r="E14" i="38"/>
  <c r="I14" i="38" s="1"/>
  <c r="D13" i="65" s="1"/>
  <c r="G13" i="65" s="1"/>
  <c r="B15" i="38"/>
  <c r="C15" i="38"/>
  <c r="E15" i="38"/>
  <c r="I15" i="38" s="1"/>
  <c r="D14" i="65" s="1"/>
  <c r="G14" i="65" s="1"/>
  <c r="B16" i="38"/>
  <c r="C16" i="38"/>
  <c r="E16" i="38"/>
  <c r="I16" i="38" s="1"/>
  <c r="D15" i="65" s="1"/>
  <c r="H15" i="65" s="1"/>
  <c r="B17" i="38"/>
  <c r="C17" i="38"/>
  <c r="E17" i="38"/>
  <c r="I17" i="38"/>
  <c r="D16" i="65" s="1"/>
  <c r="G16" i="65" s="1"/>
  <c r="B18" i="38"/>
  <c r="C18" i="38"/>
  <c r="E18" i="38"/>
  <c r="I18" i="38" s="1"/>
  <c r="D17" i="65" s="1"/>
  <c r="G17" i="65" s="1"/>
  <c r="B19" i="38"/>
  <c r="C19" i="38"/>
  <c r="E19" i="38"/>
  <c r="I19" i="38" s="1"/>
  <c r="D18" i="65" s="1"/>
  <c r="G18" i="65" s="1"/>
  <c r="B20" i="38"/>
  <c r="C20" i="38"/>
  <c r="E20" i="38"/>
  <c r="I20" i="38" s="1"/>
  <c r="D19" i="65" s="1"/>
  <c r="H19" i="65" s="1"/>
  <c r="G19" i="65" s="1"/>
  <c r="B21" i="38"/>
  <c r="C21" i="38"/>
  <c r="E21" i="38"/>
  <c r="I21" i="38" s="1"/>
  <c r="D20" i="65" s="1"/>
  <c r="H20" i="65" s="1"/>
  <c r="G20" i="65" s="1"/>
  <c r="B22" i="38"/>
  <c r="C22" i="38"/>
  <c r="E22" i="38"/>
  <c r="I22" i="38" s="1"/>
  <c r="D21" i="65" s="1"/>
  <c r="H21" i="65" s="1"/>
  <c r="G21" i="65" s="1"/>
  <c r="B23" i="38"/>
  <c r="C23" i="38"/>
  <c r="E23" i="38"/>
  <c r="I23" i="38" s="1"/>
  <c r="D22" i="65" s="1"/>
  <c r="H22" i="65" s="1"/>
  <c r="G22" i="65" s="1"/>
  <c r="B24" i="38"/>
  <c r="C24" i="38"/>
  <c r="E24" i="38"/>
  <c r="I24" i="38" s="1"/>
  <c r="D23" i="65" s="1"/>
  <c r="H23" i="65" s="1"/>
  <c r="G23" i="65" s="1"/>
  <c r="B25" i="38"/>
  <c r="C25" i="38"/>
  <c r="E25" i="38"/>
  <c r="I25" i="38" s="1"/>
  <c r="D24" i="65" s="1"/>
  <c r="G24" i="65" s="1"/>
  <c r="B26" i="38"/>
  <c r="C26" i="38"/>
  <c r="E26" i="38"/>
  <c r="I26" i="38" s="1"/>
  <c r="D25" i="65" s="1"/>
  <c r="H25" i="65" s="1"/>
  <c r="G25" i="65" s="1"/>
  <c r="B27" i="38"/>
  <c r="C27" i="38"/>
  <c r="E27" i="38"/>
  <c r="I27" i="38" s="1"/>
  <c r="D26" i="65" s="1"/>
  <c r="H26" i="65" s="1"/>
  <c r="G26" i="65" s="1"/>
  <c r="B28" i="38"/>
  <c r="C28" i="38"/>
  <c r="E28" i="38"/>
  <c r="I28" i="38" s="1"/>
  <c r="D27" i="65" s="1"/>
  <c r="H27" i="65" s="1"/>
  <c r="G27" i="65" s="1"/>
  <c r="B29" i="38"/>
  <c r="C29" i="38"/>
  <c r="E29" i="38"/>
  <c r="I29" i="38" s="1"/>
  <c r="D28" i="65" s="1"/>
  <c r="H28" i="65" s="1"/>
  <c r="G28" i="65" s="1"/>
  <c r="B30" i="38"/>
  <c r="C30" i="38"/>
  <c r="E30" i="38"/>
  <c r="I30" i="38" s="1"/>
  <c r="D29" i="65" s="1"/>
  <c r="H29" i="65" s="1"/>
  <c r="G29" i="65" s="1"/>
  <c r="B31" i="38"/>
  <c r="C31" i="38"/>
  <c r="E31" i="38"/>
  <c r="I31" i="38" s="1"/>
  <c r="D30" i="65" s="1"/>
  <c r="H30" i="65" s="1"/>
  <c r="G30" i="65" s="1"/>
  <c r="B32" i="38"/>
  <c r="C32" i="38"/>
  <c r="E32" i="38"/>
  <c r="I32" i="38" s="1"/>
  <c r="D31" i="65" s="1"/>
  <c r="H31" i="65" s="1"/>
  <c r="G31" i="65" s="1"/>
  <c r="B33" i="38"/>
  <c r="C33" i="38"/>
  <c r="E33" i="38"/>
  <c r="I33" i="38" s="1"/>
  <c r="D32" i="65" s="1"/>
  <c r="H32" i="65" s="1"/>
  <c r="G32" i="65" s="1"/>
  <c r="B34" i="38"/>
  <c r="C34" i="38"/>
  <c r="E34" i="38"/>
  <c r="I34" i="38" s="1"/>
  <c r="D33" i="65" s="1"/>
  <c r="G33" i="65" s="1"/>
  <c r="B35" i="38"/>
  <c r="C35" i="38"/>
  <c r="E35" i="38"/>
  <c r="I35" i="38" s="1"/>
  <c r="D34" i="65" s="1"/>
  <c r="H34" i="65" s="1"/>
  <c r="G34" i="65" s="1"/>
  <c r="B36" i="38"/>
  <c r="C36" i="38"/>
  <c r="E36" i="38"/>
  <c r="I36" i="38" s="1"/>
  <c r="D35" i="65" s="1"/>
  <c r="H35" i="65" s="1"/>
  <c r="G35" i="65" s="1"/>
  <c r="B37" i="38"/>
  <c r="C37" i="38"/>
  <c r="E37" i="38"/>
  <c r="I37" i="38" s="1"/>
  <c r="D36" i="65" s="1"/>
  <c r="G36" i="65" s="1"/>
  <c r="B38" i="38"/>
  <c r="C38" i="38"/>
  <c r="E38" i="38"/>
  <c r="I38" i="38" s="1"/>
  <c r="D37" i="65" s="1"/>
  <c r="G37" i="65" s="1"/>
  <c r="B39" i="38"/>
  <c r="C39" i="38"/>
  <c r="E39" i="38"/>
  <c r="I39" i="38" s="1"/>
  <c r="D38" i="65" s="1"/>
  <c r="H38" i="65" s="1"/>
  <c r="G38" i="65" s="1"/>
  <c r="B40" i="38"/>
  <c r="C40" i="38"/>
  <c r="E40" i="38"/>
  <c r="I40" i="38" s="1"/>
  <c r="D39" i="65" s="1"/>
  <c r="H39" i="65" s="1"/>
  <c r="G39" i="65" s="1"/>
  <c r="B41" i="38"/>
  <c r="C41" i="38"/>
  <c r="E41" i="38"/>
  <c r="I41" i="38" s="1"/>
  <c r="D40" i="65" s="1"/>
  <c r="H40" i="65" s="1"/>
  <c r="G40" i="65" s="1"/>
  <c r="B42" i="38"/>
  <c r="C42" i="38"/>
  <c r="E42" i="38"/>
  <c r="I42" i="38" s="1"/>
  <c r="D41" i="65" s="1"/>
  <c r="G41" i="65" s="1"/>
  <c r="B43" i="38"/>
  <c r="C43" i="38"/>
  <c r="E43" i="38"/>
  <c r="I43" i="38" s="1"/>
  <c r="D42" i="65" s="1"/>
  <c r="H42" i="65" s="1"/>
  <c r="G42" i="65" s="1"/>
  <c r="B44" i="38"/>
  <c r="C44" i="38"/>
  <c r="E44" i="38"/>
  <c r="I44" i="38" s="1"/>
  <c r="D43" i="65" s="1"/>
  <c r="H43" i="65" s="1"/>
  <c r="G43" i="65" s="1"/>
  <c r="B45" i="38"/>
  <c r="C45" i="38"/>
  <c r="E45" i="38"/>
  <c r="I45" i="38" s="1"/>
  <c r="D44" i="65" s="1"/>
  <c r="H44" i="65" s="1"/>
  <c r="G44" i="65" s="1"/>
  <c r="B46" i="38"/>
  <c r="C46" i="38"/>
  <c r="E46" i="38"/>
  <c r="I46" i="38" s="1"/>
  <c r="D45" i="65" s="1"/>
  <c r="H45" i="65" s="1"/>
  <c r="G45" i="65" s="1"/>
  <c r="B47" i="38"/>
  <c r="C47" i="38"/>
  <c r="E47" i="38"/>
  <c r="I47" i="38" s="1"/>
  <c r="D46" i="65" s="1"/>
  <c r="H46" i="65" s="1"/>
  <c r="G46" i="65" s="1"/>
  <c r="B48" i="38"/>
  <c r="C48" i="38"/>
  <c r="E48" i="38"/>
  <c r="I48" i="38" s="1"/>
  <c r="D47" i="65" s="1"/>
  <c r="G47" i="65" s="1"/>
  <c r="B49" i="38"/>
  <c r="C49" i="38"/>
  <c r="E49" i="38"/>
  <c r="I49" i="38" s="1"/>
  <c r="D48" i="65" s="1"/>
  <c r="H48" i="65" s="1"/>
  <c r="G48" i="65" s="1"/>
  <c r="B50" i="38"/>
  <c r="C50" i="38"/>
  <c r="E50" i="38"/>
  <c r="I50" i="38" s="1"/>
  <c r="D49" i="65" s="1"/>
  <c r="H49" i="65" s="1"/>
  <c r="G49" i="65" s="1"/>
  <c r="B51" i="38"/>
  <c r="C51" i="38"/>
  <c r="E51" i="38"/>
  <c r="I51" i="38" s="1"/>
  <c r="D50" i="65" s="1"/>
  <c r="H50" i="65" s="1"/>
  <c r="G50" i="65" s="1"/>
  <c r="B52" i="38"/>
  <c r="C52" i="38"/>
  <c r="E52" i="38"/>
  <c r="I52" i="38" s="1"/>
  <c r="D51" i="65" s="1"/>
  <c r="G51" i="65" s="1"/>
  <c r="B53" i="38"/>
  <c r="C53" i="38"/>
  <c r="E53" i="38"/>
  <c r="I53" i="38" s="1"/>
  <c r="D52" i="65" s="1"/>
  <c r="G52" i="65" s="1"/>
  <c r="B54" i="38"/>
  <c r="C54" i="38"/>
  <c r="E54" i="38"/>
  <c r="I54" i="38" s="1"/>
  <c r="D53" i="65" s="1"/>
  <c r="G53" i="65" s="1"/>
  <c r="B55" i="38"/>
  <c r="C55" i="38"/>
  <c r="E55" i="38"/>
  <c r="I55" i="38" s="1"/>
  <c r="D54" i="65" s="1"/>
  <c r="G54" i="65" s="1"/>
  <c r="B56" i="38"/>
  <c r="C56" i="38"/>
  <c r="E56" i="38"/>
  <c r="I56" i="38" s="1"/>
  <c r="D55" i="65" s="1"/>
  <c r="H55" i="65" s="1"/>
  <c r="G55" i="65" s="1"/>
  <c r="B57" i="38"/>
  <c r="C57" i="38"/>
  <c r="E57" i="38"/>
  <c r="I57" i="38" s="1"/>
  <c r="D56" i="65" s="1"/>
  <c r="G56" i="65" s="1"/>
  <c r="B58" i="38"/>
  <c r="C58" i="38"/>
  <c r="E58" i="38"/>
  <c r="I58" i="38" s="1"/>
  <c r="D57" i="65" s="1"/>
  <c r="H57" i="65" s="1"/>
  <c r="G57" i="65" s="1"/>
  <c r="B59" i="38"/>
  <c r="C59" i="38"/>
  <c r="E59" i="38"/>
  <c r="I59" i="38" s="1"/>
  <c r="D58" i="65" s="1"/>
  <c r="H58" i="65" s="1"/>
  <c r="G58" i="65" s="1"/>
  <c r="B60" i="38"/>
  <c r="C60" i="38"/>
  <c r="E60" i="38"/>
  <c r="I60" i="38" s="1"/>
  <c r="D59" i="65" s="1"/>
  <c r="H59" i="65" s="1"/>
  <c r="G59" i="65" s="1"/>
  <c r="B61" i="38"/>
  <c r="C61" i="38"/>
  <c r="E61" i="38"/>
  <c r="I61" i="38" s="1"/>
  <c r="D60" i="65" s="1"/>
  <c r="H60" i="65" s="1"/>
  <c r="G60" i="65" s="1"/>
  <c r="B62" i="38"/>
  <c r="C62" i="38"/>
  <c r="E62" i="38"/>
  <c r="I62" i="38" s="1"/>
  <c r="D71" i="65" s="1"/>
  <c r="H71" i="65" s="1"/>
  <c r="G71" i="65" s="1"/>
  <c r="B63" i="38"/>
  <c r="C63" i="38"/>
  <c r="E63" i="38"/>
  <c r="I63" i="38" s="1"/>
  <c r="D72" i="65" s="1"/>
  <c r="H72" i="65" s="1"/>
  <c r="G72" i="65" s="1"/>
  <c r="B64" i="38"/>
  <c r="C64" i="38"/>
  <c r="E64" i="38"/>
  <c r="I64" i="38" s="1"/>
  <c r="D73" i="65" s="1"/>
  <c r="H73" i="65" s="1"/>
  <c r="G73" i="65" s="1"/>
  <c r="B65" i="38"/>
  <c r="C65" i="38"/>
  <c r="E65" i="38"/>
  <c r="I65" i="38" s="1"/>
  <c r="D74" i="65" s="1"/>
  <c r="H74" i="65" s="1"/>
  <c r="G74" i="65" s="1"/>
  <c r="B66" i="38"/>
  <c r="C66" i="38"/>
  <c r="E66" i="38"/>
  <c r="I66" i="38" s="1"/>
  <c r="D75" i="65" s="1"/>
  <c r="H75" i="65" s="1"/>
  <c r="G75" i="65" s="1"/>
  <c r="B67" i="38"/>
  <c r="C67" i="38"/>
  <c r="E67" i="38"/>
  <c r="I67" i="38" s="1"/>
  <c r="D76" i="65" s="1"/>
  <c r="H76" i="65" s="1"/>
  <c r="G76" i="65" s="1"/>
  <c r="B68" i="38"/>
  <c r="C68" i="38"/>
  <c r="E68" i="38"/>
  <c r="I68" i="38" s="1"/>
  <c r="D77" i="65" s="1"/>
  <c r="H77" i="65" s="1"/>
  <c r="G77" i="65" s="1"/>
  <c r="B69" i="38"/>
  <c r="C69" i="38"/>
  <c r="E69" i="38"/>
  <c r="I69" i="38" s="1"/>
  <c r="D78" i="65" s="1"/>
  <c r="H78" i="65" s="1"/>
  <c r="G78" i="65" s="1"/>
  <c r="B70" i="38"/>
  <c r="C70" i="38"/>
  <c r="E70" i="38"/>
  <c r="I70" i="38" s="1"/>
  <c r="D79" i="65" s="1"/>
  <c r="H79" i="65" s="1"/>
  <c r="G79" i="65" s="1"/>
  <c r="B71" i="38"/>
  <c r="C71" i="38"/>
  <c r="E71" i="38"/>
  <c r="I71" i="38" s="1"/>
  <c r="D80" i="65" s="1"/>
  <c r="G80" i="65" s="1"/>
  <c r="B72" i="38"/>
  <c r="C72" i="38"/>
  <c r="E72" i="38"/>
  <c r="I72" i="38" s="1"/>
  <c r="D81" i="65" s="1"/>
  <c r="H81" i="65" s="1"/>
  <c r="G81" i="65" s="1"/>
  <c r="B73" i="38"/>
  <c r="C73" i="38"/>
  <c r="E73" i="38"/>
  <c r="I73" i="38" s="1"/>
  <c r="D82" i="65" s="1"/>
  <c r="H82" i="65" s="1"/>
  <c r="G82" i="65" s="1"/>
  <c r="B74" i="38"/>
  <c r="C74" i="38"/>
  <c r="E74" i="38"/>
  <c r="I74" i="38" s="1"/>
  <c r="D83" i="65" s="1"/>
  <c r="H83" i="65" s="1"/>
  <c r="G83" i="65" s="1"/>
  <c r="B75" i="38"/>
  <c r="C75" i="38"/>
  <c r="E75" i="38"/>
  <c r="I75" i="38" s="1"/>
  <c r="D84" i="65" s="1"/>
  <c r="G84" i="65" s="1"/>
  <c r="B76" i="38"/>
  <c r="C76" i="38"/>
  <c r="E76" i="38"/>
  <c r="I76" i="38" s="1"/>
  <c r="D85" i="65" s="1"/>
  <c r="G85" i="65" s="1"/>
  <c r="B77" i="38"/>
  <c r="C77" i="38"/>
  <c r="E77" i="38"/>
  <c r="I77" i="38" s="1"/>
  <c r="D86" i="65" s="1"/>
  <c r="H86" i="65" s="1"/>
  <c r="G86" i="65" s="1"/>
  <c r="B78" i="38"/>
  <c r="C78" i="38"/>
  <c r="E78" i="38"/>
  <c r="I78" i="38" s="1"/>
  <c r="D87" i="65" s="1"/>
  <c r="H87" i="65" s="1"/>
  <c r="G87" i="65" s="1"/>
  <c r="B79" i="38"/>
  <c r="C79" i="38"/>
  <c r="E79" i="38"/>
  <c r="I79" i="38" s="1"/>
  <c r="D88" i="65" s="1"/>
  <c r="H88" i="65" s="1"/>
  <c r="G88" i="65" s="1"/>
  <c r="B80" i="38"/>
  <c r="C80" i="38"/>
  <c r="E80" i="38"/>
  <c r="I80" i="38" s="1"/>
  <c r="D89" i="65" s="1"/>
  <c r="H89" i="65" s="1"/>
  <c r="G89" i="65" s="1"/>
  <c r="B81" i="38"/>
  <c r="C81" i="38"/>
  <c r="E81" i="38"/>
  <c r="I81" i="38" s="1"/>
  <c r="D90" i="65" s="1"/>
  <c r="G90" i="65" s="1"/>
  <c r="B82" i="38"/>
  <c r="C82" i="38"/>
  <c r="E82" i="38"/>
  <c r="I82" i="38" s="1"/>
  <c r="D91" i="65" s="1"/>
  <c r="G91" i="65" s="1"/>
  <c r="B83" i="38"/>
  <c r="C83" i="38"/>
  <c r="E83" i="38"/>
  <c r="I83" i="38" s="1"/>
  <c r="D92" i="65" s="1"/>
  <c r="G92" i="65" s="1"/>
  <c r="B84" i="38"/>
  <c r="C84" i="38"/>
  <c r="E84" i="38"/>
  <c r="I84" i="38" s="1"/>
  <c r="D93" i="65" s="1"/>
  <c r="H93" i="65" s="1"/>
  <c r="G93" i="65" s="1"/>
  <c r="B85" i="38"/>
  <c r="C85" i="38"/>
  <c r="E85" i="38"/>
  <c r="I85" i="38" s="1"/>
  <c r="D94" i="65" s="1"/>
  <c r="H94" i="65" s="1"/>
  <c r="G94" i="65" s="1"/>
  <c r="B86" i="38"/>
  <c r="C86" i="38"/>
  <c r="E86" i="38"/>
  <c r="I86" i="38" s="1"/>
  <c r="D95" i="65" s="1"/>
  <c r="H95" i="65" s="1"/>
  <c r="G95" i="65" s="1"/>
  <c r="B87" i="38"/>
  <c r="C87" i="38"/>
  <c r="E87" i="38"/>
  <c r="I87" i="38" s="1"/>
  <c r="D96" i="65" s="1"/>
  <c r="H96" i="65" s="1"/>
  <c r="G96" i="65" s="1"/>
  <c r="B88" i="38"/>
  <c r="C88" i="38"/>
  <c r="E88" i="38"/>
  <c r="I88" i="38" s="1"/>
  <c r="D97" i="65" s="1"/>
  <c r="H97" i="65" s="1"/>
  <c r="G97" i="65" s="1"/>
  <c r="B89" i="38"/>
  <c r="C89" i="38"/>
  <c r="E89" i="38"/>
  <c r="I89" i="38" s="1"/>
  <c r="D98" i="65" s="1"/>
  <c r="H98" i="65" s="1"/>
  <c r="G98" i="65" s="1"/>
  <c r="B90" i="38"/>
  <c r="C90" i="38"/>
  <c r="E90" i="38"/>
  <c r="I90" i="38" s="1"/>
  <c r="D99" i="65" s="1"/>
  <c r="H99" i="65" s="1"/>
  <c r="G99" i="65" s="1"/>
  <c r="B91" i="38"/>
  <c r="C91" i="38"/>
  <c r="E91" i="38"/>
  <c r="I91" i="38" s="1"/>
  <c r="D100" i="65" s="1"/>
  <c r="G100" i="65" s="1"/>
  <c r="B92" i="38"/>
  <c r="C92" i="38"/>
  <c r="E92" i="38"/>
  <c r="I92" i="38" s="1"/>
  <c r="D101" i="65" s="1"/>
  <c r="H101" i="65" s="1"/>
  <c r="G101" i="65" s="1"/>
  <c r="B93" i="38"/>
  <c r="C93" i="38"/>
  <c r="E93" i="38"/>
  <c r="I93" i="38" s="1"/>
  <c r="D102" i="65" s="1"/>
  <c r="H102" i="65" s="1"/>
  <c r="G102" i="65" s="1"/>
  <c r="B94" i="38"/>
  <c r="C94" i="38"/>
  <c r="E94" i="38"/>
  <c r="I94" i="38" s="1"/>
  <c r="D103" i="65" s="1"/>
  <c r="H103" i="65" s="1"/>
  <c r="G103" i="65" s="1"/>
  <c r="B95" i="38"/>
  <c r="C95" i="38"/>
  <c r="E95" i="38"/>
  <c r="I95" i="38" s="1"/>
  <c r="D104" i="65" s="1"/>
  <c r="H104" i="65" s="1"/>
  <c r="G104" i="65" s="1"/>
  <c r="B96" i="38"/>
  <c r="C96" i="38"/>
  <c r="E96" i="38"/>
  <c r="I96" i="38" s="1"/>
  <c r="D105" i="65" s="1"/>
  <c r="G105" i="65" s="1"/>
  <c r="B97" i="38"/>
  <c r="C97" i="38"/>
  <c r="E97" i="38"/>
  <c r="I97" i="38" s="1"/>
  <c r="D106" i="65" s="1"/>
  <c r="H106" i="65" s="1"/>
  <c r="G106" i="65" s="1"/>
  <c r="B98" i="38"/>
  <c r="C98" i="38"/>
  <c r="E98" i="38"/>
  <c r="I98" i="38" s="1"/>
  <c r="D107" i="65" s="1"/>
  <c r="H107" i="65" s="1"/>
  <c r="G107" i="65" s="1"/>
  <c r="B99" i="38"/>
  <c r="C99" i="38"/>
  <c r="E99" i="38"/>
  <c r="I99" i="38" s="1"/>
  <c r="D108" i="65" s="1"/>
  <c r="G108" i="65" s="1"/>
  <c r="B100" i="38"/>
  <c r="C100" i="38"/>
  <c r="E100" i="38"/>
  <c r="I100" i="38" s="1"/>
  <c r="D109" i="65" s="1"/>
  <c r="G109" i="65" s="1"/>
  <c r="B101" i="38"/>
  <c r="C101" i="38"/>
  <c r="E101" i="38"/>
  <c r="I101" i="38" s="1"/>
  <c r="D110" i="65" s="1"/>
  <c r="G110" i="65" s="1"/>
  <c r="B102" i="38"/>
  <c r="C102" i="38"/>
  <c r="E102" i="38"/>
  <c r="I102" i="38" s="1"/>
  <c r="D111" i="65" s="1"/>
  <c r="H111" i="65" s="1"/>
  <c r="G111" i="65" s="1"/>
  <c r="B103" i="38"/>
  <c r="C103" i="38"/>
  <c r="E103" i="38"/>
  <c r="I103" i="38" s="1"/>
  <c r="D112" i="65" s="1"/>
  <c r="G112" i="65" s="1"/>
  <c r="B104" i="38"/>
  <c r="C104" i="38"/>
  <c r="E104" i="38"/>
  <c r="I104" i="38" s="1"/>
  <c r="D113" i="65" s="1"/>
  <c r="H113" i="65" s="1"/>
  <c r="G113" i="65" s="1"/>
  <c r="B105" i="38"/>
  <c r="C105" i="38"/>
  <c r="E105" i="38"/>
  <c r="I105" i="38" s="1"/>
  <c r="D114" i="65" s="1"/>
  <c r="H114" i="65" s="1"/>
  <c r="G114" i="65" s="1"/>
  <c r="B106" i="38"/>
  <c r="C106" i="38"/>
  <c r="E106" i="38"/>
  <c r="I106" i="38" s="1"/>
  <c r="D115" i="65" s="1"/>
  <c r="H115" i="65" s="1"/>
  <c r="G115" i="65" s="1"/>
  <c r="B107" i="38"/>
  <c r="C107" i="38"/>
  <c r="E107" i="38"/>
  <c r="I107" i="38" s="1"/>
  <c r="D116" i="65" s="1"/>
  <c r="H116" i="65" s="1"/>
  <c r="G116" i="65" s="1"/>
  <c r="B108" i="38"/>
  <c r="C108" i="38"/>
  <c r="E108" i="38"/>
  <c r="I108" i="38" s="1"/>
  <c r="D117" i="65" s="1"/>
  <c r="H117" i="65" s="1"/>
  <c r="G117" i="65" s="1"/>
  <c r="B109" i="38"/>
  <c r="C109" i="38"/>
  <c r="E109" i="38"/>
  <c r="I109" i="38" s="1"/>
  <c r="D118" i="65" s="1"/>
  <c r="G118" i="65" s="1"/>
  <c r="B110" i="38"/>
  <c r="C110" i="38"/>
  <c r="E110" i="38"/>
  <c r="I110" i="38" s="1"/>
  <c r="D119" i="65" s="1"/>
  <c r="G119" i="65" s="1"/>
  <c r="B111" i="38"/>
  <c r="C111" i="38"/>
  <c r="E111" i="38"/>
  <c r="I111" i="38" s="1"/>
  <c r="D120" i="65" s="1"/>
  <c r="H120" i="65" s="1"/>
  <c r="G120" i="65" s="1"/>
  <c r="B112" i="38"/>
  <c r="C112" i="38"/>
  <c r="E112" i="38"/>
  <c r="I112" i="38" s="1"/>
  <c r="D131" i="65" s="1"/>
  <c r="H131" i="65" s="1"/>
  <c r="G131" i="65" s="1"/>
  <c r="B113" i="38"/>
  <c r="C113" i="38"/>
  <c r="E113" i="38"/>
  <c r="I113" i="38" s="1"/>
  <c r="D132" i="65" s="1"/>
  <c r="H132" i="65" s="1"/>
  <c r="G132" i="65" s="1"/>
  <c r="B114" i="38"/>
  <c r="C114" i="38"/>
  <c r="E114" i="38"/>
  <c r="I114" i="38" s="1"/>
  <c r="D133" i="65" s="1"/>
  <c r="G133" i="65" s="1"/>
  <c r="B115" i="38"/>
  <c r="C115" i="38"/>
  <c r="E115" i="38"/>
  <c r="I115" i="38" s="1"/>
  <c r="D134" i="65" s="1"/>
  <c r="H134" i="65" s="1"/>
  <c r="G134" i="65" s="1"/>
  <c r="B116" i="38"/>
  <c r="C116" i="38"/>
  <c r="E116" i="38"/>
  <c r="I116" i="38" s="1"/>
  <c r="D135" i="65" s="1"/>
  <c r="H135" i="65" s="1"/>
  <c r="G135" i="65" s="1"/>
  <c r="B117" i="38"/>
  <c r="C117" i="38"/>
  <c r="E117" i="38"/>
  <c r="I117" i="38" s="1"/>
  <c r="D136" i="65" s="1"/>
  <c r="G136" i="65" s="1"/>
  <c r="B118" i="38"/>
  <c r="C118" i="38"/>
  <c r="E118" i="38"/>
  <c r="I118" i="38" s="1"/>
  <c r="D137" i="65" s="1"/>
  <c r="H137" i="65" s="1"/>
  <c r="G137" i="65" s="1"/>
  <c r="B119" i="38"/>
  <c r="C119" i="38"/>
  <c r="E119" i="38"/>
  <c r="I119" i="38" s="1"/>
  <c r="D138" i="65" s="1"/>
  <c r="H138" i="65" s="1"/>
  <c r="G138" i="65" s="1"/>
  <c r="B120" i="38"/>
  <c r="C120" i="38"/>
  <c r="E120" i="38"/>
  <c r="I120" i="38" s="1"/>
  <c r="D139" i="65" s="1"/>
  <c r="H139" i="65" s="1"/>
  <c r="G139" i="65" s="1"/>
  <c r="B121" i="38"/>
  <c r="C121" i="38"/>
  <c r="E121" i="38"/>
  <c r="I121" i="38" s="1"/>
  <c r="D140" i="65" s="1"/>
  <c r="H140" i="65" s="1"/>
  <c r="G140" i="65" s="1"/>
  <c r="B122" i="38"/>
  <c r="C122" i="38"/>
  <c r="E122" i="38"/>
  <c r="I122" i="38" s="1"/>
  <c r="D141" i="65" s="1"/>
  <c r="H141" i="65" s="1"/>
  <c r="G141" i="65" s="1"/>
  <c r="B123" i="38"/>
  <c r="C123" i="38"/>
  <c r="E123" i="38"/>
  <c r="I123" i="38" s="1"/>
  <c r="D142" i="65" s="1"/>
  <c r="H142" i="65" s="1"/>
  <c r="G142" i="65" s="1"/>
  <c r="B124" i="38"/>
  <c r="C124" i="38"/>
  <c r="E124" i="38"/>
  <c r="I124" i="38" s="1"/>
  <c r="D143" i="65" s="1"/>
  <c r="G143" i="65" s="1"/>
  <c r="B125" i="38"/>
  <c r="C125" i="38"/>
  <c r="E125" i="38"/>
  <c r="I125" i="38" s="1"/>
  <c r="D144" i="65" s="1"/>
  <c r="G144" i="65" s="1"/>
  <c r="B126" i="38"/>
  <c r="C126" i="38"/>
  <c r="E126" i="38"/>
  <c r="I126" i="38" s="1"/>
  <c r="D145" i="65" s="1"/>
  <c r="G145" i="65" s="1"/>
  <c r="B127" i="38"/>
  <c r="C127" i="38"/>
  <c r="E127" i="38"/>
  <c r="I127" i="38" s="1"/>
  <c r="D146" i="65" s="1"/>
  <c r="H146" i="65" s="1"/>
  <c r="G146" i="65" s="1"/>
  <c r="B128" i="38"/>
  <c r="C128" i="38"/>
  <c r="E128" i="38"/>
  <c r="I128" i="38" s="1"/>
  <c r="D147" i="65" s="1"/>
  <c r="H147" i="65" s="1"/>
  <c r="G147" i="65" s="1"/>
  <c r="B129" i="38"/>
  <c r="C129" i="38"/>
  <c r="E129" i="38"/>
  <c r="I129" i="38" s="1"/>
  <c r="D148" i="65" s="1"/>
  <c r="H148" i="65" s="1"/>
  <c r="G148" i="65" s="1"/>
  <c r="B130" i="38"/>
  <c r="C130" i="38"/>
  <c r="E130" i="38"/>
  <c r="I130" i="38" s="1"/>
  <c r="D149" i="65" s="1"/>
  <c r="H149" i="65" s="1"/>
  <c r="G149" i="65" s="1"/>
  <c r="B131" i="38"/>
  <c r="C131" i="38"/>
  <c r="E131" i="38"/>
  <c r="I131" i="38" s="1"/>
  <c r="D150" i="65" s="1"/>
  <c r="G150" i="65" s="1"/>
  <c r="B132" i="38"/>
  <c r="C132" i="38"/>
  <c r="E132" i="38"/>
  <c r="I132" i="38" s="1"/>
  <c r="D151" i="65" s="1"/>
  <c r="G151" i="65" s="1"/>
  <c r="B133" i="38"/>
  <c r="C133" i="38"/>
  <c r="E133" i="38"/>
  <c r="I133" i="38" s="1"/>
  <c r="D152" i="65" s="1"/>
  <c r="H152" i="65" s="1"/>
  <c r="G152" i="65" s="1"/>
  <c r="B134" i="38"/>
  <c r="C134" i="38"/>
  <c r="E134" i="38"/>
  <c r="I134" i="38" s="1"/>
  <c r="D153" i="65" s="1"/>
  <c r="G153" i="65" s="1"/>
  <c r="B135" i="38"/>
  <c r="C135" i="38"/>
  <c r="E135" i="38"/>
  <c r="I135" i="38" s="1"/>
  <c r="D154" i="65" s="1"/>
  <c r="H154" i="65" s="1"/>
  <c r="G154" i="65" s="1"/>
  <c r="B136" i="38"/>
  <c r="C136" i="38"/>
  <c r="E136" i="38"/>
  <c r="I136" i="38" s="1"/>
  <c r="D155" i="65" s="1"/>
  <c r="G155" i="65" s="1"/>
  <c r="B137" i="38"/>
  <c r="C137" i="38"/>
  <c r="E137" i="38"/>
  <c r="I137" i="38" s="1"/>
  <c r="D156" i="65" s="1"/>
  <c r="G156" i="65" s="1"/>
  <c r="B138" i="38"/>
  <c r="C138" i="38"/>
  <c r="E138" i="38"/>
  <c r="I138" i="38" s="1"/>
  <c r="D157" i="65" s="1"/>
  <c r="H157" i="65" s="1"/>
  <c r="G157" i="65" s="1"/>
  <c r="B139" i="38"/>
  <c r="C139" i="38"/>
  <c r="E139" i="38"/>
  <c r="I139" i="38" s="1"/>
  <c r="D158" i="65" s="1"/>
  <c r="H158" i="65" s="1"/>
  <c r="G158" i="65" s="1"/>
  <c r="B140" i="38"/>
  <c r="C140" i="38"/>
  <c r="E140" i="38"/>
  <c r="I140" i="38" s="1"/>
  <c r="D159" i="65" s="1"/>
  <c r="G159" i="65" s="1"/>
  <c r="B141" i="38"/>
  <c r="C141" i="38"/>
  <c r="E141" i="38"/>
  <c r="I141" i="38" s="1"/>
  <c r="D160" i="65" s="1"/>
  <c r="H160" i="65" s="1"/>
  <c r="G160" i="65" s="1"/>
  <c r="B142" i="38"/>
  <c r="C142" i="38"/>
  <c r="E142" i="38"/>
  <c r="I142" i="38" s="1"/>
  <c r="D161" i="65" s="1"/>
  <c r="H161" i="65" s="1"/>
  <c r="G161" i="65" s="1"/>
  <c r="B143" i="38"/>
  <c r="C143" i="38"/>
  <c r="E143" i="38"/>
  <c r="I143" i="38" s="1"/>
  <c r="D162" i="65" s="1"/>
  <c r="H162" i="65" s="1"/>
  <c r="G162" i="65" s="1"/>
  <c r="B144" i="38"/>
  <c r="C144" i="38"/>
  <c r="E144" i="38"/>
  <c r="I144" i="38" s="1"/>
  <c r="D163" i="65" s="1"/>
  <c r="G163" i="65" s="1"/>
  <c r="B145" i="38"/>
  <c r="C145" i="38"/>
  <c r="E145" i="38"/>
  <c r="I145" i="38" s="1"/>
  <c r="D164" i="65" s="1"/>
  <c r="G164" i="65" s="1"/>
  <c r="B146" i="38"/>
  <c r="C146" i="38"/>
  <c r="E146" i="38"/>
  <c r="I146" i="38" s="1"/>
  <c r="D165" i="65" s="1"/>
  <c r="H165" i="65" s="1"/>
  <c r="G165" i="65" s="1"/>
  <c r="B147" i="38"/>
  <c r="C147" i="38"/>
  <c r="E147" i="38"/>
  <c r="I147" i="38" s="1"/>
  <c r="D166" i="65" s="1"/>
  <c r="H166" i="65" s="1"/>
  <c r="G166" i="65" s="1"/>
  <c r="B148" i="38"/>
  <c r="C148" i="38"/>
  <c r="E148" i="38"/>
  <c r="I148" i="38" s="1"/>
  <c r="D167" i="65" s="1"/>
  <c r="H167" i="65" s="1"/>
  <c r="G167" i="65" s="1"/>
  <c r="B149" i="38"/>
  <c r="C149" i="38"/>
  <c r="E149" i="38"/>
  <c r="I149" i="38" s="1"/>
  <c r="D168" i="65" s="1"/>
  <c r="H168" i="65" s="1"/>
  <c r="G168" i="65" s="1"/>
  <c r="B150" i="38"/>
  <c r="C150" i="38"/>
  <c r="E150" i="38"/>
  <c r="I150" i="38" s="1"/>
  <c r="D169" i="65" s="1"/>
  <c r="G169" i="65" s="1"/>
  <c r="B151" i="38"/>
  <c r="C151" i="38"/>
  <c r="E151" i="38"/>
  <c r="I151" i="38" s="1"/>
  <c r="D170" i="65" s="1"/>
  <c r="H170" i="65" s="1"/>
  <c r="G170" i="65" s="1"/>
  <c r="B152" i="38"/>
  <c r="C152" i="38"/>
  <c r="E152" i="38"/>
  <c r="I152" i="38" s="1"/>
  <c r="D171" i="65" s="1"/>
  <c r="H171" i="65" s="1"/>
  <c r="G171" i="65" s="1"/>
  <c r="B153" i="38"/>
  <c r="C153" i="38"/>
  <c r="E153" i="38"/>
  <c r="I153" i="38" s="1"/>
  <c r="D172" i="65" s="1"/>
  <c r="H172" i="65" s="1"/>
  <c r="G172" i="65" s="1"/>
  <c r="B154" i="38"/>
  <c r="C154" i="38"/>
  <c r="E154" i="38"/>
  <c r="I154" i="38" s="1"/>
  <c r="D173" i="65" s="1"/>
  <c r="H173" i="65" s="1"/>
  <c r="G173" i="65" s="1"/>
  <c r="B155" i="38"/>
  <c r="C155" i="38"/>
  <c r="E155" i="38"/>
  <c r="I155" i="38" s="1"/>
  <c r="D174" i="65" s="1"/>
  <c r="H174" i="65" s="1"/>
  <c r="G174" i="65" s="1"/>
  <c r="B156" i="38"/>
  <c r="C156" i="38"/>
  <c r="E156" i="38"/>
  <c r="I156" i="38" s="1"/>
  <c r="D175" i="65" s="1"/>
  <c r="G175" i="65" s="1"/>
  <c r="B157" i="38"/>
  <c r="C157" i="38"/>
  <c r="E157" i="38"/>
  <c r="I157" i="38" s="1"/>
  <c r="D176" i="65" s="1"/>
  <c r="H176" i="65" s="1"/>
  <c r="G176" i="65" s="1"/>
  <c r="B158" i="38"/>
  <c r="C158" i="38"/>
  <c r="E158" i="38"/>
  <c r="I158" i="38" s="1"/>
  <c r="D177" i="65" s="1"/>
  <c r="H177" i="65" s="1"/>
  <c r="G177" i="65" s="1"/>
  <c r="B159" i="38"/>
  <c r="C159" i="38"/>
  <c r="E159" i="38"/>
  <c r="I159" i="38" s="1"/>
  <c r="D178" i="65" s="1"/>
  <c r="H178" i="65" s="1"/>
  <c r="G178" i="65" s="1"/>
  <c r="B160" i="38"/>
  <c r="C160" i="38"/>
  <c r="E160" i="38"/>
  <c r="I160" i="38" s="1"/>
  <c r="D179" i="65" s="1"/>
  <c r="H179" i="65" s="1"/>
  <c r="G179" i="65" s="1"/>
  <c r="B161" i="38"/>
  <c r="C161" i="38"/>
  <c r="E161" i="38"/>
  <c r="I161" i="38" s="1"/>
  <c r="D180" i="65" s="1"/>
  <c r="H180" i="65" s="1"/>
  <c r="G180" i="65" s="1"/>
  <c r="B162" i="38"/>
  <c r="C162" i="38"/>
  <c r="E162" i="38"/>
  <c r="I162" i="38" s="1"/>
  <c r="D191" i="65" s="1"/>
  <c r="H191" i="65" s="1"/>
  <c r="G191" i="65" s="1"/>
  <c r="B163" i="38"/>
  <c r="C163" i="38"/>
  <c r="E163" i="38"/>
  <c r="I163" i="38" s="1"/>
  <c r="D192" i="65" s="1"/>
  <c r="H192" i="65" s="1"/>
  <c r="G192" i="65" s="1"/>
  <c r="B164" i="38"/>
  <c r="C164" i="38"/>
  <c r="E164" i="38"/>
  <c r="I164" i="38" s="1"/>
  <c r="D193" i="65" s="1"/>
  <c r="H193" i="65" s="1"/>
  <c r="G193" i="65" s="1"/>
  <c r="B165" i="38"/>
  <c r="C165" i="38"/>
  <c r="E165" i="38"/>
  <c r="I165" i="38" s="1"/>
  <c r="D194" i="65" s="1"/>
  <c r="H194" i="65" s="1"/>
  <c r="G194" i="65" s="1"/>
  <c r="B166" i="38"/>
  <c r="C166" i="38"/>
  <c r="E166" i="38"/>
  <c r="I166" i="38" s="1"/>
  <c r="D195" i="65" s="1"/>
  <c r="H195" i="65" s="1"/>
  <c r="G195" i="65" s="1"/>
  <c r="B167" i="38"/>
  <c r="C167" i="38"/>
  <c r="E167" i="38"/>
  <c r="I167" i="38" s="1"/>
  <c r="D196" i="65" s="1"/>
  <c r="H196" i="65" s="1"/>
  <c r="G196" i="65" s="1"/>
  <c r="B168" i="38"/>
  <c r="C168" i="38"/>
  <c r="E168" i="38"/>
  <c r="I168" i="38" s="1"/>
  <c r="D197" i="65" s="1"/>
  <c r="H197" i="65" s="1"/>
  <c r="G197" i="65" s="1"/>
  <c r="B169" i="38"/>
  <c r="C169" i="38"/>
  <c r="I169" i="38"/>
  <c r="D198" i="65" s="1"/>
  <c r="H198" i="65" s="1"/>
  <c r="G198" i="65" s="1"/>
  <c r="B170" i="38"/>
  <c r="C170" i="38"/>
  <c r="E170" i="38"/>
  <c r="I170" i="38" s="1"/>
  <c r="D199" i="65" s="1"/>
  <c r="H199" i="65" s="1"/>
  <c r="G199" i="65" s="1"/>
  <c r="B171" i="38"/>
  <c r="C171" i="38"/>
  <c r="E171" i="38"/>
  <c r="I171" i="38" s="1"/>
  <c r="D200" i="65" s="1"/>
  <c r="H200" i="65" s="1"/>
  <c r="G200" i="65" s="1"/>
  <c r="B172" i="38"/>
  <c r="C172" i="38"/>
  <c r="E172" i="38"/>
  <c r="I172" i="38" s="1"/>
  <c r="D201" i="65" s="1"/>
  <c r="H201" i="65" s="1"/>
  <c r="G201" i="65" s="1"/>
  <c r="B173" i="38"/>
  <c r="C173" i="38"/>
  <c r="E173" i="38"/>
  <c r="I173" i="38" s="1"/>
  <c r="D202" i="65" s="1"/>
  <c r="H202" i="65" s="1"/>
  <c r="G202" i="65" s="1"/>
  <c r="B174" i="38"/>
  <c r="C174" i="38"/>
  <c r="E174" i="38"/>
  <c r="I174" i="38" s="1"/>
  <c r="D203" i="65" s="1"/>
  <c r="H203" i="65" s="1"/>
  <c r="G203" i="65" s="1"/>
  <c r="B175" i="38"/>
  <c r="C175" i="38"/>
  <c r="E175" i="38"/>
  <c r="I175" i="38" s="1"/>
  <c r="D204" i="65" s="1"/>
  <c r="H204" i="65" s="1"/>
  <c r="G204" i="65" s="1"/>
  <c r="B176" i="38"/>
  <c r="C176" i="38"/>
  <c r="E176" i="38"/>
  <c r="I176" i="38" s="1"/>
  <c r="D205" i="65" s="1"/>
  <c r="H205" i="65" s="1"/>
  <c r="G205" i="65" s="1"/>
  <c r="B177" i="38"/>
  <c r="C177" i="38"/>
  <c r="I177" i="38"/>
  <c r="D206" i="65" s="1"/>
  <c r="H206" i="65" s="1"/>
  <c r="G206" i="65" s="1"/>
  <c r="B178" i="38"/>
  <c r="C178" i="38"/>
  <c r="B179" i="38"/>
  <c r="C179" i="38"/>
  <c r="E179" i="38"/>
  <c r="I179" i="38" s="1"/>
  <c r="D208" i="65" s="1"/>
  <c r="H208" i="65" s="1"/>
  <c r="G208" i="65" s="1"/>
  <c r="B180" i="38"/>
  <c r="C180" i="38"/>
  <c r="E180" i="38"/>
  <c r="I180" i="38" s="1"/>
  <c r="D209" i="65" s="1"/>
  <c r="H209" i="65" s="1"/>
  <c r="G209" i="65" s="1"/>
  <c r="B181" i="38"/>
  <c r="C181" i="38"/>
  <c r="E181" i="38"/>
  <c r="I181" i="38" s="1"/>
  <c r="D210" i="65" s="1"/>
  <c r="H210" i="65" s="1"/>
  <c r="G210" i="65" s="1"/>
  <c r="B182" i="38"/>
  <c r="C182" i="38"/>
  <c r="B183" i="38"/>
  <c r="C183" i="38"/>
  <c r="E183" i="38"/>
  <c r="I183" i="38" s="1"/>
  <c r="D212" i="65" s="1"/>
  <c r="H212" i="65" s="1"/>
  <c r="G212" i="65" s="1"/>
  <c r="B184" i="38"/>
  <c r="C184" i="38"/>
  <c r="E184" i="38"/>
  <c r="I184" i="38" s="1"/>
  <c r="D213" i="65" s="1"/>
  <c r="H213" i="65" s="1"/>
  <c r="G213" i="65" s="1"/>
  <c r="B185" i="38"/>
  <c r="C185" i="38"/>
  <c r="B186" i="38"/>
  <c r="C186" i="38"/>
  <c r="E186" i="38"/>
  <c r="I186" i="38" s="1"/>
  <c r="D215" i="65" s="1"/>
  <c r="H215" i="65" s="1"/>
  <c r="G215" i="65" s="1"/>
  <c r="B187" i="38"/>
  <c r="C187" i="38"/>
  <c r="B188" i="38"/>
  <c r="C188" i="38"/>
  <c r="E188" i="38"/>
  <c r="I188" i="38" s="1"/>
  <c r="D217" i="65" s="1"/>
  <c r="H217" i="65" s="1"/>
  <c r="G217" i="65" s="1"/>
  <c r="B189" i="38"/>
  <c r="C189" i="38"/>
  <c r="B190" i="38"/>
  <c r="C190" i="38"/>
  <c r="B191" i="38"/>
  <c r="C191" i="38"/>
  <c r="E191" i="38"/>
  <c r="I191" i="38" s="1"/>
  <c r="D220" i="65" s="1"/>
  <c r="H220" i="65" s="1"/>
  <c r="G220" i="65" s="1"/>
  <c r="B192" i="38"/>
  <c r="C192" i="38"/>
  <c r="E192" i="38"/>
  <c r="I192" i="38" s="1"/>
  <c r="D221" i="65" s="1"/>
  <c r="H221" i="65" s="1"/>
  <c r="G221" i="65" s="1"/>
  <c r="B193" i="38"/>
  <c r="C193" i="38"/>
  <c r="E193" i="38"/>
  <c r="I193" i="38" s="1"/>
  <c r="D222" i="65" s="1"/>
  <c r="H222" i="65" s="1"/>
  <c r="G222" i="65" s="1"/>
  <c r="B194" i="38"/>
  <c r="C194" i="38"/>
  <c r="E194" i="38"/>
  <c r="I194" i="38" s="1"/>
  <c r="D223" i="65" s="1"/>
  <c r="H223" i="65" s="1"/>
  <c r="G223" i="65" s="1"/>
  <c r="B195" i="38"/>
  <c r="C195" i="38"/>
  <c r="B196" i="38"/>
  <c r="C196" i="38"/>
  <c r="E196" i="38"/>
  <c r="I196" i="38" s="1"/>
  <c r="D225" i="65" s="1"/>
  <c r="H225" i="65" s="1"/>
  <c r="G225" i="65" s="1"/>
  <c r="B197" i="38"/>
  <c r="C197" i="38"/>
  <c r="E197" i="38"/>
  <c r="I197" i="38" s="1"/>
  <c r="D226" i="65" s="1"/>
  <c r="H226" i="65" s="1"/>
  <c r="G226" i="65" s="1"/>
  <c r="B198" i="38"/>
  <c r="C198" i="38"/>
  <c r="E198" i="38"/>
  <c r="I198" i="38" s="1"/>
  <c r="D227" i="65" s="1"/>
  <c r="H227" i="65" s="1"/>
  <c r="G227" i="65" s="1"/>
  <c r="B199" i="38"/>
  <c r="C199" i="38"/>
  <c r="E199" i="38"/>
  <c r="I199" i="38" s="1"/>
  <c r="D228" i="65" s="1"/>
  <c r="H228" i="65" s="1"/>
  <c r="G228" i="65" s="1"/>
  <c r="B200" i="38"/>
  <c r="C200" i="38"/>
  <c r="E200" i="38"/>
  <c r="I200" i="38" s="1"/>
  <c r="D229" i="65" s="1"/>
  <c r="H229" i="65" s="1"/>
  <c r="G229" i="65" s="1"/>
  <c r="B201" i="38"/>
  <c r="C201" i="38"/>
  <c r="I201" i="38"/>
  <c r="D230" i="65" s="1"/>
  <c r="H230" i="65" s="1"/>
  <c r="G230" i="65" s="1"/>
  <c r="B202" i="38"/>
  <c r="C202" i="38"/>
  <c r="E202" i="38"/>
  <c r="I202" i="38" s="1"/>
  <c r="D231" i="65" s="1"/>
  <c r="H231" i="65" s="1"/>
  <c r="G231" i="65" s="1"/>
  <c r="B203" i="38"/>
  <c r="C203" i="38"/>
  <c r="E203" i="38"/>
  <c r="I203" i="38" s="1"/>
  <c r="D232" i="65" s="1"/>
  <c r="H232" i="65" s="1"/>
  <c r="G232" i="65" s="1"/>
  <c r="B204" i="38"/>
  <c r="C204" i="38"/>
  <c r="E204" i="38"/>
  <c r="I204" i="38" s="1"/>
  <c r="D233" i="65" s="1"/>
  <c r="H233" i="65" s="1"/>
  <c r="G233" i="65" s="1"/>
  <c r="B205" i="38"/>
  <c r="C205" i="38"/>
  <c r="E205" i="38"/>
  <c r="I205" i="38" s="1"/>
  <c r="D234" i="65" s="1"/>
  <c r="H234" i="65" s="1"/>
  <c r="G234" i="65" s="1"/>
  <c r="B206" i="38"/>
  <c r="C206" i="38"/>
  <c r="B207" i="38"/>
  <c r="C207" i="38"/>
  <c r="E207" i="38"/>
  <c r="I207" i="38" s="1"/>
  <c r="D236" i="65" s="1"/>
  <c r="H236" i="65" s="1"/>
  <c r="G236" i="65" s="1"/>
  <c r="B208" i="38"/>
  <c r="C208" i="38"/>
  <c r="E208" i="38"/>
  <c r="I208" i="38" s="1"/>
  <c r="D237" i="65" s="1"/>
  <c r="H237" i="65" s="1"/>
  <c r="G237" i="65" s="1"/>
  <c r="B209" i="38"/>
  <c r="C209" i="38"/>
  <c r="E209" i="38"/>
  <c r="I209" i="38" s="1"/>
  <c r="D238" i="65" s="1"/>
  <c r="H238" i="65" s="1"/>
  <c r="G238" i="65" s="1"/>
  <c r="B210" i="38"/>
  <c r="C210" i="38"/>
  <c r="E210" i="38"/>
  <c r="I210" i="38" s="1"/>
  <c r="D239" i="65" s="1"/>
  <c r="H239" i="65" s="1"/>
  <c r="G239" i="65" s="1"/>
  <c r="B211" i="38"/>
  <c r="C211" i="38"/>
  <c r="E211" i="38"/>
  <c r="I211" i="38" s="1"/>
  <c r="D240" i="65" s="1"/>
  <c r="H240" i="65" s="1"/>
  <c r="G240" i="65" s="1"/>
  <c r="B212" i="38"/>
  <c r="C212" i="38"/>
  <c r="E212" i="38"/>
  <c r="I212" i="38" s="1"/>
  <c r="D251" i="65" s="1"/>
  <c r="H251" i="65" s="1"/>
  <c r="G251" i="65" s="1"/>
  <c r="B213" i="38"/>
  <c r="C213" i="38"/>
  <c r="E213" i="38"/>
  <c r="I213" i="38" s="1"/>
  <c r="D252" i="65" s="1"/>
  <c r="H252" i="65" s="1"/>
  <c r="G252" i="65" s="1"/>
  <c r="B214" i="38"/>
  <c r="C214" i="38"/>
  <c r="E214" i="38"/>
  <c r="I214" i="38" s="1"/>
  <c r="D253" i="65" s="1"/>
  <c r="H253" i="65" s="1"/>
  <c r="G253" i="65" s="1"/>
  <c r="B215" i="38"/>
  <c r="C215" i="38"/>
  <c r="E215" i="38"/>
  <c r="I215" i="38" s="1"/>
  <c r="D254" i="65" s="1"/>
  <c r="H254" i="65" s="1"/>
  <c r="G254" i="65" s="1"/>
  <c r="B216" i="38"/>
  <c r="C216" i="38"/>
  <c r="E216" i="38"/>
  <c r="I216" i="38" s="1"/>
  <c r="D255" i="65" s="1"/>
  <c r="H255" i="65" s="1"/>
  <c r="G255" i="65" s="1"/>
  <c r="B217" i="38"/>
  <c r="C217" i="38"/>
  <c r="I217" i="38"/>
  <c r="D256" i="65" s="1"/>
  <c r="H256" i="65" s="1"/>
  <c r="G256" i="65" s="1"/>
  <c r="B218" i="38"/>
  <c r="C218" i="38"/>
  <c r="E218" i="38"/>
  <c r="I218" i="38" s="1"/>
  <c r="D257" i="65" s="1"/>
  <c r="H257" i="65" s="1"/>
  <c r="G257" i="65" s="1"/>
  <c r="B219" i="38"/>
  <c r="C219" i="38"/>
  <c r="E219" i="38"/>
  <c r="I219" i="38" s="1"/>
  <c r="D258" i="65" s="1"/>
  <c r="G258" i="65" s="1"/>
  <c r="B220" i="38"/>
  <c r="C220" i="38"/>
  <c r="E220" i="38"/>
  <c r="I220" i="38" s="1"/>
  <c r="D259" i="65" s="1"/>
  <c r="G259" i="65" s="1"/>
  <c r="B221" i="38"/>
  <c r="C221" i="38"/>
  <c r="E221" i="38"/>
  <c r="I221" i="38" s="1"/>
  <c r="D260" i="65" s="1"/>
  <c r="H260" i="65" s="1"/>
  <c r="G260" i="65" s="1"/>
  <c r="B222" i="38"/>
  <c r="C222" i="38"/>
  <c r="E222" i="38"/>
  <c r="I222" i="38" s="1"/>
  <c r="D261" i="65" s="1"/>
  <c r="H261" i="65" s="1"/>
  <c r="G261" i="65" s="1"/>
  <c r="B223" i="38"/>
  <c r="C223" i="38"/>
  <c r="E223" i="38"/>
  <c r="I223" i="38" s="1"/>
  <c r="D262" i="65" s="1"/>
  <c r="H262" i="65" s="1"/>
  <c r="G262" i="65" s="1"/>
  <c r="B224" i="38"/>
  <c r="C224" i="38"/>
  <c r="E224" i="38"/>
  <c r="I224" i="38" s="1"/>
  <c r="D263" i="65" s="1"/>
  <c r="H263" i="65" s="1"/>
  <c r="G263" i="65" s="1"/>
  <c r="B225" i="38"/>
  <c r="C225" i="38"/>
  <c r="E225" i="38"/>
  <c r="I225" i="38" s="1"/>
  <c r="D264" i="65" s="1"/>
  <c r="H264" i="65" s="1"/>
  <c r="G264" i="65" s="1"/>
  <c r="B226" i="38"/>
  <c r="C226" i="38"/>
  <c r="E226" i="38"/>
  <c r="I226" i="38" s="1"/>
  <c r="D265" i="65" s="1"/>
  <c r="H265" i="65" s="1"/>
  <c r="G265" i="65" s="1"/>
  <c r="B227" i="38"/>
  <c r="C227" i="38"/>
  <c r="B228" i="38"/>
  <c r="C228" i="38"/>
  <c r="E228" i="38"/>
  <c r="I228" i="38" s="1"/>
  <c r="D267" i="65" s="1"/>
  <c r="G267" i="65" s="1"/>
  <c r="B229" i="38"/>
  <c r="C229" i="38"/>
  <c r="E229" i="38"/>
  <c r="I229" i="38" s="1"/>
  <c r="D268" i="65" s="1"/>
  <c r="H268" i="65" s="1"/>
  <c r="G268" i="65" s="1"/>
  <c r="B230" i="38"/>
  <c r="C230" i="38"/>
  <c r="E230" i="38"/>
  <c r="I230" i="38" s="1"/>
  <c r="D269" i="65" s="1"/>
  <c r="H269" i="65" s="1"/>
  <c r="G269" i="65" s="1"/>
  <c r="B231" i="38"/>
  <c r="C231" i="38"/>
  <c r="E231" i="38"/>
  <c r="I231" i="38" s="1"/>
  <c r="D270" i="65" s="1"/>
  <c r="H270" i="65" s="1"/>
  <c r="G270" i="65" s="1"/>
  <c r="B232" i="38"/>
  <c r="C232" i="38"/>
  <c r="E232" i="38"/>
  <c r="I232" i="38" s="1"/>
  <c r="D271" i="65" s="1"/>
  <c r="H271" i="65" s="1"/>
  <c r="G271" i="65" s="1"/>
  <c r="B233" i="38"/>
  <c r="C233" i="38"/>
  <c r="E233" i="38"/>
  <c r="I233" i="38" s="1"/>
  <c r="D272" i="65" s="1"/>
  <c r="H272" i="65" s="1"/>
  <c r="G272" i="65" s="1"/>
  <c r="B234" i="38"/>
  <c r="C234" i="38"/>
  <c r="E234" i="38"/>
  <c r="I234" i="38" s="1"/>
  <c r="D273" i="65" s="1"/>
  <c r="G273" i="65" s="1"/>
  <c r="B235" i="38"/>
  <c r="C235" i="38"/>
  <c r="E235" i="38"/>
  <c r="I235" i="38" s="1"/>
  <c r="D274" i="65" s="1"/>
  <c r="H274" i="65" s="1"/>
  <c r="G274" i="65" s="1"/>
  <c r="B236" i="38"/>
  <c r="C236" i="38"/>
  <c r="E236" i="38"/>
  <c r="I236" i="38" s="1"/>
  <c r="D275" i="65" s="1"/>
  <c r="H275" i="65" s="1"/>
  <c r="G275" i="65" s="1"/>
  <c r="B237" i="38"/>
  <c r="C237" i="38"/>
  <c r="E237" i="38"/>
  <c r="I237" i="38" s="1"/>
  <c r="D276" i="65" s="1"/>
  <c r="H276" i="65" s="1"/>
  <c r="G276" i="65" s="1"/>
  <c r="B238" i="38"/>
  <c r="C238" i="38"/>
  <c r="E238" i="38"/>
  <c r="I238" i="38" s="1"/>
  <c r="D277" i="65" s="1"/>
  <c r="H277" i="65" s="1"/>
  <c r="G277" i="65" s="1"/>
  <c r="B239" i="38"/>
  <c r="C239" i="38"/>
  <c r="E239" i="38"/>
  <c r="I239" i="38" s="1"/>
  <c r="D278" i="65" s="1"/>
  <c r="H278" i="65" s="1"/>
  <c r="G278" i="65" s="1"/>
  <c r="B240" i="38"/>
  <c r="C240" i="38"/>
  <c r="E240" i="38"/>
  <c r="I240" i="38" s="1"/>
  <c r="D279" i="65" s="1"/>
  <c r="H279" i="65" s="1"/>
  <c r="G279" i="65" s="1"/>
  <c r="B241" i="38"/>
  <c r="C241" i="38"/>
  <c r="B242" i="38"/>
  <c r="C242" i="38"/>
  <c r="E242" i="38"/>
  <c r="I242" i="38" s="1"/>
  <c r="D281" i="65" s="1"/>
  <c r="H281" i="65" s="1"/>
  <c r="G281" i="65" s="1"/>
  <c r="B243" i="38"/>
  <c r="C243" i="38"/>
  <c r="E243" i="38"/>
  <c r="I243" i="38" s="1"/>
  <c r="D282" i="65" s="1"/>
  <c r="H282" i="65" s="1"/>
  <c r="G282" i="65" s="1"/>
  <c r="B244" i="38"/>
  <c r="C244" i="38"/>
  <c r="E244" i="38"/>
  <c r="I244" i="38" s="1"/>
  <c r="D283" i="65" s="1"/>
  <c r="H283" i="65" s="1"/>
  <c r="G283" i="65" s="1"/>
  <c r="B245" i="38"/>
  <c r="C245" i="38"/>
  <c r="E245" i="38"/>
  <c r="I245" i="38" s="1"/>
  <c r="D284" i="65" s="1"/>
  <c r="H284" i="65" s="1"/>
  <c r="G284" i="65" s="1"/>
  <c r="B246" i="38"/>
  <c r="C246" i="38"/>
  <c r="E246" i="38"/>
  <c r="I246" i="38" s="1"/>
  <c r="D285" i="65" s="1"/>
  <c r="H285" i="65" s="1"/>
  <c r="G285" i="65" s="1"/>
  <c r="B247" i="38"/>
  <c r="C247" i="38"/>
  <c r="E247" i="38"/>
  <c r="I247" i="38" s="1"/>
  <c r="D286" i="65" s="1"/>
  <c r="H286" i="65" s="1"/>
  <c r="G286" i="65" s="1"/>
  <c r="B248" i="38"/>
  <c r="C248" i="38"/>
  <c r="E248" i="38"/>
  <c r="I248" i="38" s="1"/>
  <c r="D287" i="65" s="1"/>
  <c r="G287" i="65" s="1"/>
  <c r="B249" i="38"/>
  <c r="C249" i="38"/>
  <c r="E249" i="38"/>
  <c r="I249" i="38" s="1"/>
  <c r="D288" i="65" s="1"/>
  <c r="H288" i="65" s="1"/>
  <c r="G288" i="65" s="1"/>
  <c r="B250" i="38"/>
  <c r="C250" i="38"/>
  <c r="E250" i="38"/>
  <c r="I250" i="38" s="1"/>
  <c r="D289" i="65" s="1"/>
  <c r="H289" i="65" s="1"/>
  <c r="G289" i="65" s="1"/>
  <c r="B251" i="38"/>
  <c r="C251" i="38"/>
  <c r="E251" i="38"/>
  <c r="I251" i="38" s="1"/>
  <c r="D290" i="65" s="1"/>
  <c r="H290" i="65" s="1"/>
  <c r="G290" i="65" s="1"/>
  <c r="B252" i="38"/>
  <c r="C252" i="38"/>
  <c r="B253" i="38"/>
  <c r="C253" i="38"/>
  <c r="E253" i="38"/>
  <c r="I253" i="38" s="1"/>
  <c r="D292" i="65" s="1"/>
  <c r="H292" i="65" s="1"/>
  <c r="G292" i="65" s="1"/>
  <c r="B254" i="38"/>
  <c r="C254" i="38"/>
  <c r="E254" i="38"/>
  <c r="I254" i="38" s="1"/>
  <c r="D293" i="65" s="1"/>
  <c r="H293" i="65" s="1"/>
  <c r="G293" i="65" s="1"/>
  <c r="B255" i="38"/>
  <c r="C255" i="38"/>
  <c r="E255" i="38"/>
  <c r="I255" i="38" s="1"/>
  <c r="D294" i="65" s="1"/>
  <c r="H294" i="65" s="1"/>
  <c r="G294" i="65" s="1"/>
  <c r="B256" i="38"/>
  <c r="C256" i="38"/>
  <c r="E256" i="38"/>
  <c r="I256" i="38" s="1"/>
  <c r="D295" i="65" s="1"/>
  <c r="H295" i="65" s="1"/>
  <c r="G295" i="65" s="1"/>
  <c r="B257" i="38"/>
  <c r="C257" i="38"/>
  <c r="E257" i="38"/>
  <c r="I257" i="38" s="1"/>
  <c r="D296" i="65" s="1"/>
  <c r="H296" i="65" s="1"/>
  <c r="G296" i="65" s="1"/>
  <c r="B258" i="38"/>
  <c r="C258" i="38"/>
  <c r="E258" i="38"/>
  <c r="I258" i="38" s="1"/>
  <c r="D297" i="65" s="1"/>
  <c r="H297" i="65" s="1"/>
  <c r="G297" i="65" s="1"/>
  <c r="B259" i="38"/>
  <c r="C259" i="38"/>
  <c r="E259" i="38"/>
  <c r="I259" i="38" s="1"/>
  <c r="D298" i="65" s="1"/>
  <c r="H298" i="65" s="1"/>
  <c r="G298" i="65" s="1"/>
  <c r="B260" i="38"/>
  <c r="C260" i="38"/>
  <c r="E260" i="38"/>
  <c r="I260" i="38" s="1"/>
  <c r="D299" i="65" s="1"/>
  <c r="H299" i="65" s="1"/>
  <c r="G299" i="65" s="1"/>
  <c r="B261" i="38"/>
  <c r="C261" i="38"/>
  <c r="E261" i="38"/>
  <c r="I261" i="38" s="1"/>
  <c r="D300" i="65" s="1"/>
  <c r="H300" i="65" s="1"/>
  <c r="G300" i="65" s="1"/>
  <c r="B262" i="38"/>
  <c r="C262" i="38"/>
  <c r="I262" i="38"/>
  <c r="D311" i="65" s="1"/>
  <c r="H311" i="65" s="1"/>
  <c r="G311" i="65" s="1"/>
  <c r="B263" i="38"/>
  <c r="C263" i="38"/>
  <c r="E263" i="38"/>
  <c r="I263" i="38" s="1"/>
  <c r="D312" i="65" s="1"/>
  <c r="H312" i="65" s="1"/>
  <c r="G312" i="65" s="1"/>
  <c r="B264" i="38"/>
  <c r="C264" i="38"/>
  <c r="E264" i="38"/>
  <c r="I264" i="38" s="1"/>
  <c r="D313" i="65" s="1"/>
  <c r="H313" i="65" s="1"/>
  <c r="G313" i="65" s="1"/>
  <c r="B265" i="38"/>
  <c r="C265" i="38"/>
  <c r="E265" i="38"/>
  <c r="I265" i="38" s="1"/>
  <c r="D314" i="65" s="1"/>
  <c r="H314" i="65" s="1"/>
  <c r="G314" i="65" s="1"/>
  <c r="B266" i="38"/>
  <c r="C266" i="38"/>
  <c r="E266" i="38"/>
  <c r="I266" i="38" s="1"/>
  <c r="D315" i="65" s="1"/>
  <c r="H315" i="65" s="1"/>
  <c r="G315" i="65" s="1"/>
  <c r="B267" i="38"/>
  <c r="C267" i="38"/>
  <c r="E267" i="38"/>
  <c r="I267" i="38" s="1"/>
  <c r="D316" i="65" s="1"/>
  <c r="H316" i="65" s="1"/>
  <c r="G316" i="65" s="1"/>
  <c r="B268" i="38"/>
  <c r="C268" i="38"/>
  <c r="B269" i="38"/>
  <c r="C269" i="38"/>
  <c r="E269" i="38"/>
  <c r="I269" i="38" s="1"/>
  <c r="D318" i="65" s="1"/>
  <c r="H318" i="65" s="1"/>
  <c r="G318" i="65" s="1"/>
  <c r="B270" i="38"/>
  <c r="C270" i="38"/>
  <c r="E270" i="38"/>
  <c r="I270" i="38" s="1"/>
  <c r="D319" i="65" s="1"/>
  <c r="H319" i="65" s="1"/>
  <c r="G319" i="65" s="1"/>
  <c r="A2" i="36"/>
  <c r="A12" i="36"/>
  <c r="A13" i="36" s="1"/>
  <c r="A14" i="36" s="1"/>
  <c r="A15" i="36" s="1"/>
  <c r="A16" i="36" s="1"/>
  <c r="A17" i="36" s="1"/>
  <c r="A18" i="36" s="1"/>
  <c r="A19" i="36" s="1"/>
  <c r="A20" i="36" s="1"/>
  <c r="A21" i="36" s="1"/>
  <c r="A22" i="36" s="1"/>
  <c r="A23" i="36" s="1"/>
  <c r="A24" i="36" s="1"/>
  <c r="A25" i="36" s="1"/>
  <c r="A26" i="36" s="1"/>
  <c r="A27" i="36" s="1"/>
  <c r="A28" i="36" s="1"/>
  <c r="A29" i="36" s="1"/>
  <c r="A30" i="36" s="1"/>
  <c r="A31" i="36" s="1"/>
  <c r="A32" i="36" s="1"/>
  <c r="A33" i="36" s="1"/>
  <c r="A34" i="36" s="1"/>
  <c r="A35" i="36" s="1"/>
  <c r="A36" i="36" s="1"/>
  <c r="A37" i="36" s="1"/>
  <c r="A38" i="36" s="1"/>
  <c r="A39" i="36" s="1"/>
  <c r="A40" i="36" s="1"/>
  <c r="A41" i="36" s="1"/>
  <c r="A42" i="36" s="1"/>
  <c r="A43" i="36" s="1"/>
  <c r="A44" i="36" s="1"/>
  <c r="A45" i="36" s="1"/>
  <c r="A46" i="36" s="1"/>
  <c r="A47" i="36" s="1"/>
  <c r="A48" i="36" s="1"/>
  <c r="A49" i="36" s="1"/>
  <c r="A50" i="36" s="1"/>
  <c r="A51" i="36" s="1"/>
  <c r="A52" i="36" s="1"/>
  <c r="A53" i="36" s="1"/>
  <c r="A54" i="36" s="1"/>
  <c r="A55" i="36" s="1"/>
  <c r="A56" i="36" s="1"/>
  <c r="A57" i="36" s="1"/>
  <c r="A58" i="36" s="1"/>
  <c r="A59" i="36" s="1"/>
  <c r="A60" i="36" s="1"/>
  <c r="A61" i="36" s="1"/>
  <c r="A62" i="36" s="1"/>
  <c r="A63" i="36" s="1"/>
  <c r="A64" i="36" s="1"/>
  <c r="A65" i="36" s="1"/>
  <c r="A66" i="36" s="1"/>
  <c r="A67" i="36" s="1"/>
  <c r="A68" i="36" s="1"/>
  <c r="A69" i="36" s="1"/>
  <c r="A70" i="36" s="1"/>
  <c r="A71" i="36" s="1"/>
  <c r="A72" i="36" s="1"/>
  <c r="A73" i="36" s="1"/>
  <c r="A74" i="36" s="1"/>
  <c r="A75" i="36" s="1"/>
  <c r="A76" i="36" s="1"/>
  <c r="A77" i="36" s="1"/>
  <c r="A78" i="36" s="1"/>
  <c r="A79" i="36" s="1"/>
  <c r="A80" i="36" s="1"/>
  <c r="A81" i="36" s="1"/>
  <c r="A82" i="36" s="1"/>
  <c r="A83" i="36" s="1"/>
  <c r="A84" i="36" s="1"/>
  <c r="A85" i="36" s="1"/>
  <c r="A86" i="36" s="1"/>
  <c r="A87" i="36" s="1"/>
  <c r="A88" i="36" s="1"/>
  <c r="A89" i="36" s="1"/>
  <c r="A90" i="36" s="1"/>
  <c r="A91" i="36" s="1"/>
  <c r="A92" i="36" s="1"/>
  <c r="A93" i="36" s="1"/>
  <c r="A94" i="36" s="1"/>
  <c r="A95" i="36" s="1"/>
  <c r="A96" i="36" s="1"/>
  <c r="A97" i="36" s="1"/>
  <c r="A98" i="36" s="1"/>
  <c r="A99" i="36" s="1"/>
  <c r="A100" i="36" s="1"/>
  <c r="A101" i="36" s="1"/>
  <c r="A102" i="36" s="1"/>
  <c r="A103" i="36" s="1"/>
  <c r="A104" i="36" s="1"/>
  <c r="A105" i="36" s="1"/>
  <c r="A106" i="36" s="1"/>
  <c r="A107" i="36" s="1"/>
  <c r="A108" i="36" s="1"/>
  <c r="A109" i="36" s="1"/>
  <c r="A110" i="36" s="1"/>
  <c r="A111" i="36" s="1"/>
  <c r="A112" i="36" s="1"/>
  <c r="A113" i="36" s="1"/>
  <c r="A114" i="36" s="1"/>
  <c r="A115" i="36" s="1"/>
  <c r="A116" i="36" s="1"/>
  <c r="A117" i="36" s="1"/>
  <c r="A118" i="36" s="1"/>
  <c r="A119" i="36" s="1"/>
  <c r="A120" i="36" s="1"/>
  <c r="A121" i="36" s="1"/>
  <c r="A122" i="36" s="1"/>
  <c r="A123" i="36" s="1"/>
  <c r="A124" i="36" s="1"/>
  <c r="A125" i="36" s="1"/>
  <c r="A126" i="36" s="1"/>
  <c r="A127" i="36" s="1"/>
  <c r="A128" i="36" s="1"/>
  <c r="A129" i="36" s="1"/>
  <c r="A130" i="36" s="1"/>
  <c r="A131" i="36" s="1"/>
  <c r="A132" i="36" s="1"/>
  <c r="A133" i="36" s="1"/>
  <c r="A134" i="36" s="1"/>
  <c r="A135" i="36" s="1"/>
  <c r="A136" i="36" s="1"/>
  <c r="A137" i="36" s="1"/>
  <c r="A138" i="36" s="1"/>
  <c r="A139" i="36" s="1"/>
  <c r="A140" i="36" s="1"/>
  <c r="A141" i="36" s="1"/>
  <c r="A142" i="36" s="1"/>
  <c r="A143" i="36" s="1"/>
  <c r="A144" i="36" s="1"/>
  <c r="A145" i="36" s="1"/>
  <c r="A146" i="36" s="1"/>
  <c r="A147" i="36" s="1"/>
  <c r="A148" i="36" s="1"/>
  <c r="A149" i="36" s="1"/>
  <c r="A150" i="36" s="1"/>
  <c r="A151" i="36" s="1"/>
  <c r="A152" i="36" s="1"/>
  <c r="A153" i="36" s="1"/>
  <c r="A154" i="36" s="1"/>
  <c r="A155" i="36" s="1"/>
  <c r="A156" i="36" s="1"/>
  <c r="A157" i="36" s="1"/>
  <c r="A158" i="36" s="1"/>
  <c r="A159" i="36" s="1"/>
  <c r="A160" i="36" s="1"/>
  <c r="A161" i="36" s="1"/>
  <c r="A162" i="36" s="1"/>
  <c r="A163" i="36" s="1"/>
  <c r="A164" i="36" s="1"/>
  <c r="A165" i="36" s="1"/>
  <c r="A166" i="36" s="1"/>
  <c r="A167" i="36" s="1"/>
  <c r="A168" i="36" s="1"/>
  <c r="A169" i="36" s="1"/>
  <c r="A170" i="36" s="1"/>
  <c r="A171" i="36" s="1"/>
  <c r="A172" i="36" s="1"/>
  <c r="A173" i="36" s="1"/>
  <c r="A174" i="36" s="1"/>
  <c r="A175" i="36" s="1"/>
  <c r="A176" i="36" s="1"/>
  <c r="A177" i="36" s="1"/>
  <c r="A178" i="36" s="1"/>
  <c r="A179" i="36" s="1"/>
  <c r="A180" i="36" s="1"/>
  <c r="A181" i="36" s="1"/>
  <c r="A182" i="36" s="1"/>
  <c r="A183" i="36" s="1"/>
  <c r="A184" i="36" s="1"/>
  <c r="A185" i="36" s="1"/>
  <c r="A186" i="36" s="1"/>
  <c r="A187" i="36" s="1"/>
  <c r="A188" i="36" s="1"/>
  <c r="A189" i="36" s="1"/>
  <c r="A190" i="36" s="1"/>
  <c r="A191" i="36" s="1"/>
  <c r="A192" i="36" s="1"/>
  <c r="A193" i="36" s="1"/>
  <c r="A194" i="36" s="1"/>
  <c r="A195" i="36" s="1"/>
  <c r="A196" i="36" s="1"/>
  <c r="A197" i="36" s="1"/>
  <c r="A198" i="36" s="1"/>
  <c r="A199" i="36" s="1"/>
  <c r="A200" i="36" s="1"/>
  <c r="A201" i="36" s="1"/>
  <c r="A202" i="36" s="1"/>
  <c r="A203" i="36" s="1"/>
  <c r="A204" i="36" s="1"/>
  <c r="A205" i="36" s="1"/>
  <c r="A206" i="36" s="1"/>
  <c r="A207" i="36" s="1"/>
  <c r="A208" i="36" s="1"/>
  <c r="A209" i="36" s="1"/>
  <c r="A210" i="36" s="1"/>
  <c r="A211" i="36" s="1"/>
  <c r="A212" i="36" s="1"/>
  <c r="A213" i="36" s="1"/>
  <c r="A214" i="36" s="1"/>
  <c r="A215" i="36" s="1"/>
  <c r="A216" i="36" s="1"/>
  <c r="A217" i="36" s="1"/>
  <c r="A218" i="36" s="1"/>
  <c r="A219" i="36" s="1"/>
  <c r="A220" i="36" s="1"/>
  <c r="A221" i="36" s="1"/>
  <c r="A222" i="36" s="1"/>
  <c r="A223" i="36" s="1"/>
  <c r="A224" i="36" s="1"/>
  <c r="A225" i="36" s="1"/>
  <c r="A226" i="36" s="1"/>
  <c r="A227" i="36" s="1"/>
  <c r="A228" i="36" s="1"/>
  <c r="A229" i="36" s="1"/>
  <c r="A230" i="36" s="1"/>
  <c r="A231" i="36" s="1"/>
  <c r="A232" i="36" s="1"/>
  <c r="A233" i="36" s="1"/>
  <c r="A234" i="36" s="1"/>
  <c r="A235" i="36" s="1"/>
  <c r="A236" i="36" s="1"/>
  <c r="A237" i="36" s="1"/>
  <c r="A238" i="36" s="1"/>
  <c r="A239" i="36" s="1"/>
  <c r="A240" i="36" s="1"/>
  <c r="A241" i="36" s="1"/>
  <c r="A242" i="36" s="1"/>
  <c r="A243" i="36" s="1"/>
  <c r="A244" i="36" s="1"/>
  <c r="A245" i="36" s="1"/>
  <c r="A246" i="36" s="1"/>
  <c r="A247" i="36" s="1"/>
  <c r="A248" i="36" s="1"/>
  <c r="A249" i="36" s="1"/>
  <c r="A250" i="36" s="1"/>
  <c r="A251" i="36" s="1"/>
  <c r="A252" i="36" s="1"/>
  <c r="A253" i="36" s="1"/>
  <c r="A254" i="36" s="1"/>
  <c r="A255" i="36" s="1"/>
  <c r="A256" i="36" s="1"/>
  <c r="A257" i="36" s="1"/>
  <c r="A258" i="36" s="1"/>
  <c r="A259" i="36" s="1"/>
  <c r="A260" i="36" s="1"/>
  <c r="A261" i="36" s="1"/>
  <c r="A262" i="36" s="1"/>
  <c r="A263" i="36" s="1"/>
  <c r="A264" i="36" s="1"/>
  <c r="A265" i="36" s="1"/>
  <c r="A266" i="36" s="1"/>
  <c r="A267" i="36" s="1"/>
  <c r="A268" i="36" s="1"/>
  <c r="A269" i="36" s="1"/>
  <c r="A270" i="36" s="1"/>
  <c r="A271" i="36" s="1"/>
  <c r="A272" i="36" s="1"/>
  <c r="A273" i="36" s="1"/>
  <c r="A274" i="36" s="1"/>
  <c r="A275" i="36" s="1"/>
  <c r="A276" i="36" s="1"/>
  <c r="A277" i="36" s="1"/>
  <c r="A278" i="36" s="1"/>
  <c r="A279" i="36" s="1"/>
  <c r="A280" i="36" s="1"/>
  <c r="A281" i="36" s="1"/>
  <c r="A282" i="36" s="1"/>
  <c r="A283" i="36" s="1"/>
  <c r="A284" i="36" s="1"/>
  <c r="A285" i="36" s="1"/>
  <c r="A286" i="36" s="1"/>
  <c r="A287" i="36" s="1"/>
  <c r="A288" i="36" s="1"/>
  <c r="A289" i="36" s="1"/>
  <c r="A290" i="36" s="1"/>
  <c r="A291" i="36" s="1"/>
  <c r="A292" i="36" s="1"/>
  <c r="A293" i="36" s="1"/>
  <c r="A294" i="36" s="1"/>
  <c r="A295" i="36" s="1"/>
  <c r="A296" i="36" s="1"/>
  <c r="A297" i="36" s="1"/>
  <c r="A298" i="36" s="1"/>
  <c r="A299" i="36" s="1"/>
  <c r="A300" i="36" s="1"/>
  <c r="A301" i="36" s="1"/>
  <c r="A302" i="36" s="1"/>
  <c r="A303" i="36" s="1"/>
  <c r="A304" i="36" s="1"/>
  <c r="A305" i="36" s="1"/>
  <c r="A306" i="36" s="1"/>
  <c r="A307" i="36" s="1"/>
  <c r="A308" i="36" s="1"/>
  <c r="A309" i="36" s="1"/>
  <c r="A310" i="36" s="1"/>
  <c r="A311" i="36" s="1"/>
  <c r="A312" i="36" s="1"/>
  <c r="A313" i="36" s="1"/>
  <c r="A314" i="36" s="1"/>
  <c r="A315" i="36" s="1"/>
  <c r="A316" i="36" s="1"/>
  <c r="A317" i="36" s="1"/>
  <c r="A318" i="36" s="1"/>
  <c r="A319" i="36" s="1"/>
  <c r="A320" i="36" s="1"/>
  <c r="A321" i="36" s="1"/>
  <c r="A322" i="36" s="1"/>
  <c r="A323" i="36" s="1"/>
  <c r="A324" i="36" s="1"/>
  <c r="A325" i="36" s="1"/>
  <c r="A326" i="36" s="1"/>
  <c r="A327" i="36" s="1"/>
  <c r="A2" i="37"/>
  <c r="B12" i="37"/>
  <c r="C12" i="37"/>
  <c r="E12" i="37"/>
  <c r="I12" i="37" s="1"/>
  <c r="D11" i="31" s="1"/>
  <c r="A13" i="37"/>
  <c r="A14" i="37" s="1"/>
  <c r="A15" i="37" s="1"/>
  <c r="A16" i="37" s="1"/>
  <c r="A17" i="37" s="1"/>
  <c r="A18" i="37" s="1"/>
  <c r="A19" i="37" s="1"/>
  <c r="A20" i="37" s="1"/>
  <c r="A21" i="37" s="1"/>
  <c r="A22" i="37" s="1"/>
  <c r="A23" i="37" s="1"/>
  <c r="A24" i="37" s="1"/>
  <c r="A25" i="37" s="1"/>
  <c r="A26" i="37" s="1"/>
  <c r="A27" i="37" s="1"/>
  <c r="A28" i="37" s="1"/>
  <c r="A29" i="37" s="1"/>
  <c r="A30" i="37" s="1"/>
  <c r="A31" i="37" s="1"/>
  <c r="A32" i="37" s="1"/>
  <c r="A33" i="37" s="1"/>
  <c r="A34" i="37" s="1"/>
  <c r="A35" i="37" s="1"/>
  <c r="A36" i="37" s="1"/>
  <c r="A37" i="37" s="1"/>
  <c r="A38" i="37" s="1"/>
  <c r="A39" i="37" s="1"/>
  <c r="A40" i="37" s="1"/>
  <c r="A41" i="37" s="1"/>
  <c r="A42" i="37" s="1"/>
  <c r="A43" i="37" s="1"/>
  <c r="A44" i="37" s="1"/>
  <c r="A45" i="37" s="1"/>
  <c r="A46" i="37" s="1"/>
  <c r="A47" i="37" s="1"/>
  <c r="A48" i="37" s="1"/>
  <c r="A49" i="37" s="1"/>
  <c r="A50" i="37" s="1"/>
  <c r="A51" i="37" s="1"/>
  <c r="A52" i="37" s="1"/>
  <c r="A53" i="37" s="1"/>
  <c r="A54" i="37" s="1"/>
  <c r="A55" i="37" s="1"/>
  <c r="A56" i="37" s="1"/>
  <c r="A57" i="37" s="1"/>
  <c r="A58" i="37" s="1"/>
  <c r="A59" i="37" s="1"/>
  <c r="A60" i="37" s="1"/>
  <c r="A61" i="37" s="1"/>
  <c r="A62" i="37" s="1"/>
  <c r="A63" i="37" s="1"/>
  <c r="A64" i="37" s="1"/>
  <c r="A65" i="37" s="1"/>
  <c r="A66" i="37" s="1"/>
  <c r="A67" i="37" s="1"/>
  <c r="A68" i="37" s="1"/>
  <c r="A69" i="37" s="1"/>
  <c r="A70" i="37" s="1"/>
  <c r="A71" i="37" s="1"/>
  <c r="A72" i="37" s="1"/>
  <c r="A73" i="37" s="1"/>
  <c r="A74" i="37" s="1"/>
  <c r="A75" i="37" s="1"/>
  <c r="A76" i="37" s="1"/>
  <c r="A77" i="37" s="1"/>
  <c r="A78" i="37" s="1"/>
  <c r="A79" i="37" s="1"/>
  <c r="A80" i="37" s="1"/>
  <c r="A81" i="37" s="1"/>
  <c r="A82" i="37" s="1"/>
  <c r="A83" i="37" s="1"/>
  <c r="A84" i="37" s="1"/>
  <c r="A85" i="37" s="1"/>
  <c r="A86" i="37" s="1"/>
  <c r="A87" i="37" s="1"/>
  <c r="A88" i="37" s="1"/>
  <c r="A89" i="37" s="1"/>
  <c r="A90" i="37" s="1"/>
  <c r="A91" i="37" s="1"/>
  <c r="A92" i="37" s="1"/>
  <c r="A93" i="37" s="1"/>
  <c r="A94" i="37" s="1"/>
  <c r="A95" i="37" s="1"/>
  <c r="A96" i="37" s="1"/>
  <c r="A97" i="37" s="1"/>
  <c r="A98" i="37" s="1"/>
  <c r="A99" i="37" s="1"/>
  <c r="A100" i="37" s="1"/>
  <c r="A101" i="37" s="1"/>
  <c r="A102" i="37" s="1"/>
  <c r="A103" i="37" s="1"/>
  <c r="A104" i="37" s="1"/>
  <c r="A105" i="37" s="1"/>
  <c r="A106" i="37" s="1"/>
  <c r="A107" i="37" s="1"/>
  <c r="A108" i="37" s="1"/>
  <c r="A109" i="37" s="1"/>
  <c r="A110" i="37" s="1"/>
  <c r="A111" i="37" s="1"/>
  <c r="A112" i="37" s="1"/>
  <c r="A113" i="37" s="1"/>
  <c r="A114" i="37" s="1"/>
  <c r="A115" i="37" s="1"/>
  <c r="A116" i="37" s="1"/>
  <c r="A117" i="37" s="1"/>
  <c r="A118" i="37" s="1"/>
  <c r="A119" i="37" s="1"/>
  <c r="A120" i="37" s="1"/>
  <c r="A121" i="37" s="1"/>
  <c r="A122" i="37" s="1"/>
  <c r="A123" i="37" s="1"/>
  <c r="A124" i="37" s="1"/>
  <c r="A125" i="37" s="1"/>
  <c r="A126" i="37" s="1"/>
  <c r="A127" i="37" s="1"/>
  <c r="A128" i="37" s="1"/>
  <c r="A129" i="37" s="1"/>
  <c r="A130" i="37" s="1"/>
  <c r="A131" i="37" s="1"/>
  <c r="A132" i="37" s="1"/>
  <c r="A133" i="37" s="1"/>
  <c r="A134" i="37" s="1"/>
  <c r="A135" i="37" s="1"/>
  <c r="A136" i="37" s="1"/>
  <c r="A137" i="37" s="1"/>
  <c r="A138" i="37" s="1"/>
  <c r="A139" i="37" s="1"/>
  <c r="A140" i="37" s="1"/>
  <c r="A141" i="37" s="1"/>
  <c r="A142" i="37" s="1"/>
  <c r="A143" i="37" s="1"/>
  <c r="A144" i="37" s="1"/>
  <c r="A145" i="37" s="1"/>
  <c r="A146" i="37" s="1"/>
  <c r="A147" i="37" s="1"/>
  <c r="A148" i="37" s="1"/>
  <c r="A149" i="37" s="1"/>
  <c r="A150" i="37" s="1"/>
  <c r="A151" i="37" s="1"/>
  <c r="A152" i="37" s="1"/>
  <c r="A153" i="37" s="1"/>
  <c r="A154" i="37" s="1"/>
  <c r="A155" i="37" s="1"/>
  <c r="A156" i="37" s="1"/>
  <c r="A157" i="37" s="1"/>
  <c r="A158" i="37" s="1"/>
  <c r="A159" i="37" s="1"/>
  <c r="A160" i="37" s="1"/>
  <c r="A161" i="37" s="1"/>
  <c r="A162" i="37" s="1"/>
  <c r="A163" i="37" s="1"/>
  <c r="A164" i="37" s="1"/>
  <c r="A165" i="37" s="1"/>
  <c r="A166" i="37" s="1"/>
  <c r="A167" i="37" s="1"/>
  <c r="A168" i="37" s="1"/>
  <c r="A169" i="37" s="1"/>
  <c r="A170" i="37" s="1"/>
  <c r="A171" i="37" s="1"/>
  <c r="A172" i="37" s="1"/>
  <c r="A173" i="37" s="1"/>
  <c r="A174" i="37" s="1"/>
  <c r="A175" i="37" s="1"/>
  <c r="A176" i="37" s="1"/>
  <c r="A177" i="37" s="1"/>
  <c r="A178" i="37" s="1"/>
  <c r="A179" i="37" s="1"/>
  <c r="A180" i="37" s="1"/>
  <c r="A181" i="37" s="1"/>
  <c r="A182" i="37" s="1"/>
  <c r="A183" i="37" s="1"/>
  <c r="A184" i="37" s="1"/>
  <c r="A185" i="37" s="1"/>
  <c r="A186" i="37" s="1"/>
  <c r="A187" i="37" s="1"/>
  <c r="A188" i="37" s="1"/>
  <c r="A189" i="37" s="1"/>
  <c r="A190" i="37" s="1"/>
  <c r="A191" i="37" s="1"/>
  <c r="A192" i="37" s="1"/>
  <c r="A193" i="37" s="1"/>
  <c r="A194" i="37" s="1"/>
  <c r="A195" i="37" s="1"/>
  <c r="A196" i="37" s="1"/>
  <c r="A197" i="37" s="1"/>
  <c r="A198" i="37" s="1"/>
  <c r="A199" i="37" s="1"/>
  <c r="A200" i="37" s="1"/>
  <c r="A201" i="37" s="1"/>
  <c r="A202" i="37" s="1"/>
  <c r="A203" i="37" s="1"/>
  <c r="A204" i="37" s="1"/>
  <c r="A205" i="37" s="1"/>
  <c r="A206" i="37" s="1"/>
  <c r="A207" i="37" s="1"/>
  <c r="B13" i="37"/>
  <c r="C13" i="37"/>
  <c r="E13" i="37"/>
  <c r="I13" i="37" s="1"/>
  <c r="D12" i="31" s="1"/>
  <c r="G12" i="31" s="1"/>
  <c r="B14" i="37"/>
  <c r="C14" i="37"/>
  <c r="E14" i="37"/>
  <c r="I14" i="37" s="1"/>
  <c r="D13" i="31" s="1"/>
  <c r="H13" i="31" s="1"/>
  <c r="G13" i="31" s="1"/>
  <c r="B15" i="37"/>
  <c r="C15" i="37"/>
  <c r="E15" i="37"/>
  <c r="I15" i="37" s="1"/>
  <c r="D14" i="31" s="1"/>
  <c r="G14" i="31" s="1"/>
  <c r="B16" i="37"/>
  <c r="C16" i="37"/>
  <c r="E16" i="37"/>
  <c r="I16" i="37" s="1"/>
  <c r="D15" i="31" s="1"/>
  <c r="H15" i="31" s="1"/>
  <c r="G15" i="31" s="1"/>
  <c r="B17" i="37"/>
  <c r="C17" i="37"/>
  <c r="E17" i="37"/>
  <c r="I17" i="37" s="1"/>
  <c r="D16" i="31" s="1"/>
  <c r="H16" i="31" s="1"/>
  <c r="G16" i="31" s="1"/>
  <c r="B18" i="37"/>
  <c r="C18" i="37"/>
  <c r="E18" i="37"/>
  <c r="I18" i="37" s="1"/>
  <c r="D17" i="31" s="1"/>
  <c r="H17" i="31" s="1"/>
  <c r="G17" i="31" s="1"/>
  <c r="B19" i="37"/>
  <c r="C19" i="37"/>
  <c r="E19" i="37"/>
  <c r="I19" i="37" s="1"/>
  <c r="D18" i="31" s="1"/>
  <c r="H18" i="31" s="1"/>
  <c r="G18" i="31" s="1"/>
  <c r="B20" i="37"/>
  <c r="C20" i="37"/>
  <c r="E20" i="37"/>
  <c r="I20" i="37" s="1"/>
  <c r="D19" i="31" s="1"/>
  <c r="H19" i="31" s="1"/>
  <c r="G19" i="31" s="1"/>
  <c r="B21" i="37"/>
  <c r="C21" i="37"/>
  <c r="E21" i="37"/>
  <c r="I21" i="37" s="1"/>
  <c r="D20" i="31" s="1"/>
  <c r="H20" i="31" s="1"/>
  <c r="G20" i="31" s="1"/>
  <c r="B22" i="37"/>
  <c r="C22" i="37"/>
  <c r="E22" i="37"/>
  <c r="I22" i="37" s="1"/>
  <c r="D21" i="31" s="1"/>
  <c r="G21" i="31" s="1"/>
  <c r="B23" i="37"/>
  <c r="C23" i="37"/>
  <c r="E23" i="37"/>
  <c r="I23" i="37" s="1"/>
  <c r="D22" i="31" s="1"/>
  <c r="G22" i="31" s="1"/>
  <c r="B24" i="37"/>
  <c r="C24" i="37"/>
  <c r="E24" i="37"/>
  <c r="I24" i="37" s="1"/>
  <c r="D23" i="31" s="1"/>
  <c r="H23" i="31" s="1"/>
  <c r="G23" i="31" s="1"/>
  <c r="B25" i="37"/>
  <c r="C25" i="37"/>
  <c r="E25" i="37"/>
  <c r="I25" i="37" s="1"/>
  <c r="D24" i="31" s="1"/>
  <c r="H24" i="31" s="1"/>
  <c r="G24" i="31" s="1"/>
  <c r="B26" i="37"/>
  <c r="C26" i="37"/>
  <c r="E26" i="37"/>
  <c r="I26" i="37" s="1"/>
  <c r="D25" i="31" s="1"/>
  <c r="H25" i="31" s="1"/>
  <c r="G25" i="31" s="1"/>
  <c r="B27" i="37"/>
  <c r="C27" i="37"/>
  <c r="E27" i="37"/>
  <c r="I27" i="37" s="1"/>
  <c r="D26" i="31" s="1"/>
  <c r="H26" i="31" s="1"/>
  <c r="G26" i="31" s="1"/>
  <c r="B28" i="37"/>
  <c r="C28" i="37"/>
  <c r="E28" i="37"/>
  <c r="I28" i="37" s="1"/>
  <c r="D27" i="31" s="1"/>
  <c r="G27" i="31" s="1"/>
  <c r="B29" i="37"/>
  <c r="C29" i="37"/>
  <c r="E29" i="37"/>
  <c r="I29" i="37" s="1"/>
  <c r="D28" i="31" s="1"/>
  <c r="H28" i="31" s="1"/>
  <c r="G28" i="31" s="1"/>
  <c r="B30" i="37"/>
  <c r="C30" i="37"/>
  <c r="E30" i="37"/>
  <c r="I30" i="37" s="1"/>
  <c r="D29" i="31" s="1"/>
  <c r="G29" i="31" s="1"/>
  <c r="B31" i="37"/>
  <c r="C31" i="37"/>
  <c r="E31" i="37"/>
  <c r="I31" i="37" s="1"/>
  <c r="D30" i="31" s="1"/>
  <c r="H30" i="31" s="1"/>
  <c r="G30" i="31" s="1"/>
  <c r="B32" i="37"/>
  <c r="C32" i="37"/>
  <c r="E32" i="37"/>
  <c r="I32" i="37" s="1"/>
  <c r="D31" i="31" s="1"/>
  <c r="H31" i="31" s="1"/>
  <c r="G31" i="31" s="1"/>
  <c r="B33" i="37"/>
  <c r="C33" i="37"/>
  <c r="E33" i="37"/>
  <c r="I33" i="37" s="1"/>
  <c r="D32" i="31" s="1"/>
  <c r="H32" i="31" s="1"/>
  <c r="G32" i="31" s="1"/>
  <c r="B34" i="37"/>
  <c r="C34" i="37"/>
  <c r="E34" i="37"/>
  <c r="I34" i="37" s="1"/>
  <c r="D33" i="31" s="1"/>
  <c r="H33" i="31" s="1"/>
  <c r="G33" i="31" s="1"/>
  <c r="B35" i="37"/>
  <c r="C35" i="37"/>
  <c r="E35" i="37"/>
  <c r="I35" i="37" s="1"/>
  <c r="D34" i="31" s="1"/>
  <c r="H34" i="31" s="1"/>
  <c r="G34" i="31" s="1"/>
  <c r="B36" i="37"/>
  <c r="C36" i="37"/>
  <c r="E36" i="37"/>
  <c r="I36" i="37" s="1"/>
  <c r="D35" i="31" s="1"/>
  <c r="G35" i="31" s="1"/>
  <c r="B37" i="37"/>
  <c r="C37" i="37"/>
  <c r="E37" i="37"/>
  <c r="I37" i="37" s="1"/>
  <c r="D36" i="31" s="1"/>
  <c r="G36" i="31" s="1"/>
  <c r="B38" i="37"/>
  <c r="C38" i="37"/>
  <c r="E38" i="37"/>
  <c r="I38" i="37" s="1"/>
  <c r="D37" i="31" s="1"/>
  <c r="H37" i="31" s="1"/>
  <c r="G37" i="31" s="1"/>
  <c r="B39" i="37"/>
  <c r="C39" i="37"/>
  <c r="E39" i="37"/>
  <c r="I39" i="37" s="1"/>
  <c r="D38" i="31" s="1"/>
  <c r="H38" i="31" s="1"/>
  <c r="G38" i="31" s="1"/>
  <c r="B40" i="37"/>
  <c r="C40" i="37"/>
  <c r="E40" i="37"/>
  <c r="I40" i="37" s="1"/>
  <c r="D39" i="31" s="1"/>
  <c r="H39" i="31" s="1"/>
  <c r="G39" i="31" s="1"/>
  <c r="B41" i="37"/>
  <c r="C41" i="37"/>
  <c r="E41" i="37"/>
  <c r="I41" i="37" s="1"/>
  <c r="D40" i="31" s="1"/>
  <c r="G40" i="31" s="1"/>
  <c r="B42" i="37"/>
  <c r="C42" i="37"/>
  <c r="E42" i="37"/>
  <c r="I42" i="37" s="1"/>
  <c r="D41" i="31" s="1"/>
  <c r="G41" i="31" s="1"/>
  <c r="B43" i="37"/>
  <c r="C43" i="37"/>
  <c r="E43" i="37"/>
  <c r="I43" i="37" s="1"/>
  <c r="D42" i="31" s="1"/>
  <c r="H42" i="31" s="1"/>
  <c r="G42" i="31" s="1"/>
  <c r="B44" i="37"/>
  <c r="C44" i="37"/>
  <c r="E44" i="37"/>
  <c r="I44" i="37" s="1"/>
  <c r="D43" i="31" s="1"/>
  <c r="H43" i="31" s="1"/>
  <c r="G43" i="31" s="1"/>
  <c r="B45" i="37"/>
  <c r="C45" i="37"/>
  <c r="E45" i="37"/>
  <c r="I45" i="37" s="1"/>
  <c r="D44" i="31" s="1"/>
  <c r="H44" i="31" s="1"/>
  <c r="G44" i="31" s="1"/>
  <c r="B46" i="37"/>
  <c r="C46" i="37"/>
  <c r="E46" i="37"/>
  <c r="I46" i="37" s="1"/>
  <c r="D45" i="31" s="1"/>
  <c r="H45" i="31" s="1"/>
  <c r="G45" i="31" s="1"/>
  <c r="B47" i="37"/>
  <c r="C47" i="37"/>
  <c r="E47" i="37"/>
  <c r="I47" i="37" s="1"/>
  <c r="D46" i="31" s="1"/>
  <c r="H46" i="31" s="1"/>
  <c r="G46" i="31" s="1"/>
  <c r="B48" i="37"/>
  <c r="C48" i="37"/>
  <c r="E48" i="37"/>
  <c r="I48" i="37" s="1"/>
  <c r="D47" i="31" s="1"/>
  <c r="H47" i="31" s="1"/>
  <c r="G47" i="31" s="1"/>
  <c r="B49" i="37"/>
  <c r="C49" i="37"/>
  <c r="E49" i="37"/>
  <c r="I49" i="37" s="1"/>
  <c r="D48" i="31" s="1"/>
  <c r="H48" i="31" s="1"/>
  <c r="G48" i="31" s="1"/>
  <c r="B50" i="37"/>
  <c r="C50" i="37"/>
  <c r="E50" i="37"/>
  <c r="I50" i="37" s="1"/>
  <c r="D49" i="31" s="1"/>
  <c r="H49" i="31" s="1"/>
  <c r="G49" i="31" s="1"/>
  <c r="B51" i="37"/>
  <c r="C51" i="37"/>
  <c r="E51" i="37"/>
  <c r="I51" i="37" s="1"/>
  <c r="D50" i="31" s="1"/>
  <c r="H50" i="31" s="1"/>
  <c r="G50" i="31" s="1"/>
  <c r="B52" i="37"/>
  <c r="C52" i="37"/>
  <c r="E52" i="37"/>
  <c r="I52" i="37" s="1"/>
  <c r="D61" i="31" s="1"/>
  <c r="G61" i="31" s="1"/>
  <c r="B53" i="37"/>
  <c r="C53" i="37"/>
  <c r="E53" i="37"/>
  <c r="I53" i="37" s="1"/>
  <c r="D62" i="31" s="1"/>
  <c r="G62" i="31" s="1"/>
  <c r="B54" i="37"/>
  <c r="C54" i="37"/>
  <c r="E54" i="37"/>
  <c r="I54" i="37" s="1"/>
  <c r="D63" i="31" s="1"/>
  <c r="G63" i="31" s="1"/>
  <c r="B55" i="37"/>
  <c r="C55" i="37"/>
  <c r="E55" i="37"/>
  <c r="I55" i="37" s="1"/>
  <c r="D64" i="31" s="1"/>
  <c r="G64" i="31" s="1"/>
  <c r="B56" i="37"/>
  <c r="C56" i="37"/>
  <c r="E56" i="37"/>
  <c r="I56" i="37" s="1"/>
  <c r="D65" i="31" s="1"/>
  <c r="H65" i="31" s="1"/>
  <c r="G65" i="31" s="1"/>
  <c r="B57" i="37"/>
  <c r="C57" i="37"/>
  <c r="E57" i="37"/>
  <c r="I57" i="37" s="1"/>
  <c r="D66" i="31" s="1"/>
  <c r="G66" i="31" s="1"/>
  <c r="B58" i="37"/>
  <c r="C58" i="37"/>
  <c r="E58" i="37"/>
  <c r="I58" i="37" s="1"/>
  <c r="D67" i="31" s="1"/>
  <c r="H67" i="31" s="1"/>
  <c r="G67" i="31" s="1"/>
  <c r="B59" i="37"/>
  <c r="C59" i="37"/>
  <c r="E59" i="37"/>
  <c r="I59" i="37" s="1"/>
  <c r="D68" i="31" s="1"/>
  <c r="G68" i="31" s="1"/>
  <c r="B60" i="37"/>
  <c r="C60" i="37"/>
  <c r="E60" i="37"/>
  <c r="I60" i="37" s="1"/>
  <c r="D69" i="31" s="1"/>
  <c r="G69" i="31" s="1"/>
  <c r="B61" i="37"/>
  <c r="C61" i="37"/>
  <c r="E61" i="37"/>
  <c r="I61" i="37" s="1"/>
  <c r="D70" i="31" s="1"/>
  <c r="G70" i="31" s="1"/>
  <c r="B62" i="37"/>
  <c r="C62" i="37"/>
  <c r="E62" i="37"/>
  <c r="I62" i="37" s="1"/>
  <c r="D71" i="31" s="1"/>
  <c r="G71" i="31" s="1"/>
  <c r="B63" i="37"/>
  <c r="C63" i="37"/>
  <c r="E63" i="37"/>
  <c r="I63" i="37" s="1"/>
  <c r="D72" i="31" s="1"/>
  <c r="H72" i="31" s="1"/>
  <c r="G72" i="31" s="1"/>
  <c r="B64" i="37"/>
  <c r="C64" i="37"/>
  <c r="E64" i="37"/>
  <c r="I64" i="37" s="1"/>
  <c r="D73" i="31" s="1"/>
  <c r="G73" i="31" s="1"/>
  <c r="B65" i="37"/>
  <c r="C65" i="37"/>
  <c r="E65" i="37"/>
  <c r="I65" i="37" s="1"/>
  <c r="D74" i="31" s="1"/>
  <c r="G74" i="31" s="1"/>
  <c r="B66" i="37"/>
  <c r="C66" i="37"/>
  <c r="E66" i="37"/>
  <c r="I66" i="37" s="1"/>
  <c r="D75" i="31" s="1"/>
  <c r="G75" i="31" s="1"/>
  <c r="B67" i="37"/>
  <c r="C67" i="37"/>
  <c r="E67" i="37"/>
  <c r="I67" i="37" s="1"/>
  <c r="D76" i="31" s="1"/>
  <c r="H76" i="31" s="1"/>
  <c r="G76" i="31" s="1"/>
  <c r="B68" i="37"/>
  <c r="C68" i="37"/>
  <c r="E68" i="37"/>
  <c r="I68" i="37" s="1"/>
  <c r="D77" i="31" s="1"/>
  <c r="H77" i="31" s="1"/>
  <c r="G77" i="31" s="1"/>
  <c r="B69" i="37"/>
  <c r="C69" i="37"/>
  <c r="E69" i="37"/>
  <c r="I69" i="37" s="1"/>
  <c r="D78" i="31" s="1"/>
  <c r="H78" i="31" s="1"/>
  <c r="G78" i="31" s="1"/>
  <c r="B70" i="37"/>
  <c r="C70" i="37"/>
  <c r="E70" i="37"/>
  <c r="I70" i="37" s="1"/>
  <c r="D79" i="31" s="1"/>
  <c r="H79" i="31" s="1"/>
  <c r="G79" i="31" s="1"/>
  <c r="B71" i="37"/>
  <c r="C71" i="37"/>
  <c r="E71" i="37"/>
  <c r="I71" i="37" s="1"/>
  <c r="D80" i="31" s="1"/>
  <c r="H80" i="31" s="1"/>
  <c r="G80" i="31" s="1"/>
  <c r="B72" i="37"/>
  <c r="C72" i="37"/>
  <c r="E72" i="37"/>
  <c r="I72" i="37" s="1"/>
  <c r="D81" i="31" s="1"/>
  <c r="G81" i="31" s="1"/>
  <c r="B73" i="37"/>
  <c r="C73" i="37"/>
  <c r="E73" i="37"/>
  <c r="I73" i="37" s="1"/>
  <c r="D82" i="31" s="1"/>
  <c r="H82" i="31" s="1"/>
  <c r="G82" i="31" s="1"/>
  <c r="B74" i="37"/>
  <c r="C74" i="37"/>
  <c r="E74" i="37"/>
  <c r="I74" i="37" s="1"/>
  <c r="D83" i="31" s="1"/>
  <c r="H83" i="31" s="1"/>
  <c r="G83" i="31" s="1"/>
  <c r="B75" i="37"/>
  <c r="C75" i="37"/>
  <c r="E75" i="37"/>
  <c r="I75" i="37" s="1"/>
  <c r="D84" i="31" s="1"/>
  <c r="H84" i="31" s="1"/>
  <c r="G84" i="31" s="1"/>
  <c r="B76" i="37"/>
  <c r="C76" i="37"/>
  <c r="E76" i="37"/>
  <c r="I76" i="37" s="1"/>
  <c r="D85" i="31" s="1"/>
  <c r="H85" i="31" s="1"/>
  <c r="G85" i="31" s="1"/>
  <c r="B77" i="37"/>
  <c r="C77" i="37"/>
  <c r="E77" i="37"/>
  <c r="I77" i="37" s="1"/>
  <c r="D86" i="31" s="1"/>
  <c r="H86" i="31" s="1"/>
  <c r="G86" i="31" s="1"/>
  <c r="B78" i="37"/>
  <c r="C78" i="37"/>
  <c r="E78" i="37"/>
  <c r="I78" i="37" s="1"/>
  <c r="D87" i="31" s="1"/>
  <c r="H87" i="31" s="1"/>
  <c r="G87" i="31" s="1"/>
  <c r="B79" i="37"/>
  <c r="C79" i="37"/>
  <c r="E79" i="37"/>
  <c r="I79" i="37" s="1"/>
  <c r="D88" i="31" s="1"/>
  <c r="H88" i="31" s="1"/>
  <c r="G88" i="31" s="1"/>
  <c r="B80" i="37"/>
  <c r="C80" i="37"/>
  <c r="E80" i="37"/>
  <c r="I80" i="37" s="1"/>
  <c r="D89" i="31" s="1"/>
  <c r="H89" i="31" s="1"/>
  <c r="G89" i="31" s="1"/>
  <c r="B81" i="37"/>
  <c r="C81" i="37"/>
  <c r="E81" i="37"/>
  <c r="I81" i="37" s="1"/>
  <c r="D90" i="31" s="1"/>
  <c r="H90" i="31" s="1"/>
  <c r="G90" i="31" s="1"/>
  <c r="B82" i="37"/>
  <c r="C82" i="37"/>
  <c r="E82" i="37"/>
  <c r="I82" i="37" s="1"/>
  <c r="D91" i="31" s="1"/>
  <c r="G91" i="31" s="1"/>
  <c r="B83" i="37"/>
  <c r="C83" i="37"/>
  <c r="E83" i="37"/>
  <c r="I83" i="37" s="1"/>
  <c r="D92" i="31" s="1"/>
  <c r="H92" i="31" s="1"/>
  <c r="G92" i="31" s="1"/>
  <c r="B84" i="37"/>
  <c r="C84" i="37"/>
  <c r="E84" i="37"/>
  <c r="I84" i="37" s="1"/>
  <c r="D93" i="31" s="1"/>
  <c r="H93" i="31" s="1"/>
  <c r="G93" i="31" s="1"/>
  <c r="B85" i="37"/>
  <c r="C85" i="37"/>
  <c r="E85" i="37"/>
  <c r="I85" i="37" s="1"/>
  <c r="D94" i="31" s="1"/>
  <c r="G94" i="31" s="1"/>
  <c r="B86" i="37"/>
  <c r="C86" i="37"/>
  <c r="E86" i="37"/>
  <c r="I86" i="37" s="1"/>
  <c r="D95" i="31" s="1"/>
  <c r="H95" i="31" s="1"/>
  <c r="G95" i="31" s="1"/>
  <c r="B87" i="37"/>
  <c r="C87" i="37"/>
  <c r="E87" i="37"/>
  <c r="I87" i="37" s="1"/>
  <c r="D96" i="31" s="1"/>
  <c r="H96" i="31" s="1"/>
  <c r="G96" i="31" s="1"/>
  <c r="B88" i="37"/>
  <c r="C88" i="37"/>
  <c r="E88" i="37"/>
  <c r="I88" i="37" s="1"/>
  <c r="D97" i="31" s="1"/>
  <c r="H97" i="31" s="1"/>
  <c r="G97" i="31" s="1"/>
  <c r="B89" i="37"/>
  <c r="C89" i="37"/>
  <c r="E89" i="37"/>
  <c r="I89" i="37" s="1"/>
  <c r="D98" i="31" s="1"/>
  <c r="H98" i="31" s="1"/>
  <c r="G98" i="31" s="1"/>
  <c r="B90" i="37"/>
  <c r="C90" i="37"/>
  <c r="E90" i="37"/>
  <c r="I90" i="37" s="1"/>
  <c r="D99" i="31" s="1"/>
  <c r="G99" i="31" s="1"/>
  <c r="B91" i="37"/>
  <c r="C91" i="37"/>
  <c r="E91" i="37"/>
  <c r="I91" i="37" s="1"/>
  <c r="D100" i="31" s="1"/>
  <c r="H100" i="31" s="1"/>
  <c r="G100" i="31" s="1"/>
  <c r="B92" i="37"/>
  <c r="C92" i="37"/>
  <c r="E92" i="37"/>
  <c r="I92" i="37" s="1"/>
  <c r="D111" i="31" s="1"/>
  <c r="H111" i="31" s="1"/>
  <c r="G111" i="31" s="1"/>
  <c r="B93" i="37"/>
  <c r="C93" i="37"/>
  <c r="E93" i="37"/>
  <c r="I93" i="37" s="1"/>
  <c r="D112" i="31" s="1"/>
  <c r="H112" i="31" s="1"/>
  <c r="G112" i="31" s="1"/>
  <c r="B94" i="37"/>
  <c r="C94" i="37"/>
  <c r="E94" i="37"/>
  <c r="I94" i="37" s="1"/>
  <c r="D113" i="31" s="1"/>
  <c r="H113" i="31" s="1"/>
  <c r="G113" i="31" s="1"/>
  <c r="B95" i="37"/>
  <c r="C95" i="37"/>
  <c r="E95" i="37"/>
  <c r="I95" i="37" s="1"/>
  <c r="D114" i="31" s="1"/>
  <c r="H114" i="31" s="1"/>
  <c r="G114" i="31" s="1"/>
  <c r="B96" i="37"/>
  <c r="C96" i="37"/>
  <c r="E96" i="37"/>
  <c r="I96" i="37" s="1"/>
  <c r="D115" i="31" s="1"/>
  <c r="G115" i="31" s="1"/>
  <c r="B97" i="37"/>
  <c r="C97" i="37"/>
  <c r="E97" i="37"/>
  <c r="I97" i="37" s="1"/>
  <c r="D116" i="31" s="1"/>
  <c r="H116" i="31" s="1"/>
  <c r="G116" i="31" s="1"/>
  <c r="B98" i="37"/>
  <c r="C98" i="37"/>
  <c r="E98" i="37"/>
  <c r="I98" i="37" s="1"/>
  <c r="D117" i="31" s="1"/>
  <c r="H117" i="31" s="1"/>
  <c r="G117" i="31" s="1"/>
  <c r="B99" i="37"/>
  <c r="C99" i="37"/>
  <c r="E99" i="37"/>
  <c r="I99" i="37" s="1"/>
  <c r="D118" i="31" s="1"/>
  <c r="H118" i="31" s="1"/>
  <c r="G118" i="31" s="1"/>
  <c r="B100" i="37"/>
  <c r="C100" i="37"/>
  <c r="E100" i="37"/>
  <c r="I100" i="37" s="1"/>
  <c r="D119" i="31" s="1"/>
  <c r="G119" i="31" s="1"/>
  <c r="B101" i="37"/>
  <c r="C101" i="37"/>
  <c r="E101" i="37"/>
  <c r="I101" i="37" s="1"/>
  <c r="D120" i="31" s="1"/>
  <c r="G120" i="31" s="1"/>
  <c r="B102" i="37"/>
  <c r="C102" i="37"/>
  <c r="E102" i="37"/>
  <c r="I102" i="37" s="1"/>
  <c r="D121" i="31" s="1"/>
  <c r="G121" i="31" s="1"/>
  <c r="B103" i="37"/>
  <c r="C103" i="37"/>
  <c r="E103" i="37"/>
  <c r="I103" i="37" s="1"/>
  <c r="D122" i="31" s="1"/>
  <c r="G122" i="31" s="1"/>
  <c r="B104" i="37"/>
  <c r="C104" i="37"/>
  <c r="E104" i="37"/>
  <c r="I104" i="37" s="1"/>
  <c r="D123" i="31" s="1"/>
  <c r="H123" i="31" s="1"/>
  <c r="G123" i="31" s="1"/>
  <c r="B105" i="37"/>
  <c r="C105" i="37"/>
  <c r="E105" i="37"/>
  <c r="I105" i="37" s="1"/>
  <c r="D124" i="31" s="1"/>
  <c r="G124" i="31" s="1"/>
  <c r="B106" i="37"/>
  <c r="C106" i="37"/>
  <c r="E106" i="37"/>
  <c r="I106" i="37" s="1"/>
  <c r="D125" i="31" s="1"/>
  <c r="H125" i="31" s="1"/>
  <c r="G125" i="31" s="1"/>
  <c r="B107" i="37"/>
  <c r="C107" i="37"/>
  <c r="E107" i="37"/>
  <c r="I107" i="37" s="1"/>
  <c r="D126" i="31" s="1"/>
  <c r="H126" i="31" s="1"/>
  <c r="G126" i="31" s="1"/>
  <c r="B108" i="37"/>
  <c r="C108" i="37"/>
  <c r="E108" i="37"/>
  <c r="I108" i="37" s="1"/>
  <c r="D127" i="31" s="1"/>
  <c r="H127" i="31" s="1"/>
  <c r="G127" i="31" s="1"/>
  <c r="B109" i="37"/>
  <c r="C109" i="37"/>
  <c r="E109" i="37"/>
  <c r="I109" i="37" s="1"/>
  <c r="D128" i="31" s="1"/>
  <c r="H128" i="31" s="1"/>
  <c r="G128" i="31" s="1"/>
  <c r="B110" i="37"/>
  <c r="C110" i="37"/>
  <c r="E110" i="37"/>
  <c r="I110" i="37" s="1"/>
  <c r="D129" i="31" s="1"/>
  <c r="H129" i="31" s="1"/>
  <c r="G129" i="31" s="1"/>
  <c r="B111" i="37"/>
  <c r="C111" i="37"/>
  <c r="E111" i="37"/>
  <c r="I111" i="37" s="1"/>
  <c r="D130" i="31" s="1"/>
  <c r="H130" i="31" s="1"/>
  <c r="G130" i="31" s="1"/>
  <c r="B112" i="37"/>
  <c r="C112" i="37"/>
  <c r="E112" i="37"/>
  <c r="I112" i="37" s="1"/>
  <c r="D131" i="31" s="1"/>
  <c r="H131" i="31" s="1"/>
  <c r="G131" i="31" s="1"/>
  <c r="B113" i="37"/>
  <c r="C113" i="37"/>
  <c r="E113" i="37"/>
  <c r="I113" i="37" s="1"/>
  <c r="D132" i="31" s="1"/>
  <c r="H132" i="31" s="1"/>
  <c r="G132" i="31" s="1"/>
  <c r="B114" i="37"/>
  <c r="C114" i="37"/>
  <c r="E114" i="37"/>
  <c r="I114" i="37" s="1"/>
  <c r="D133" i="31" s="1"/>
  <c r="H133" i="31" s="1"/>
  <c r="G133" i="31" s="1"/>
  <c r="B115" i="37"/>
  <c r="C115" i="37"/>
  <c r="E115" i="37"/>
  <c r="I115" i="37" s="1"/>
  <c r="D134" i="31" s="1"/>
  <c r="H134" i="31" s="1"/>
  <c r="G134" i="31" s="1"/>
  <c r="B116" i="37"/>
  <c r="C116" i="37"/>
  <c r="E116" i="37"/>
  <c r="I116" i="37" s="1"/>
  <c r="D135" i="31" s="1"/>
  <c r="H135" i="31" s="1"/>
  <c r="G135" i="31" s="1"/>
  <c r="B117" i="37"/>
  <c r="C117" i="37"/>
  <c r="E117" i="37"/>
  <c r="I117" i="37" s="1"/>
  <c r="D136" i="31" s="1"/>
  <c r="H136" i="31" s="1"/>
  <c r="G136" i="31" s="1"/>
  <c r="B118" i="37"/>
  <c r="C118" i="37"/>
  <c r="E118" i="37"/>
  <c r="I118" i="37" s="1"/>
  <c r="D137" i="31" s="1"/>
  <c r="H137" i="31" s="1"/>
  <c r="G137" i="31" s="1"/>
  <c r="B119" i="37"/>
  <c r="C119" i="37"/>
  <c r="E119" i="37"/>
  <c r="I119" i="37" s="1"/>
  <c r="D138" i="31" s="1"/>
  <c r="H138" i="31" s="1"/>
  <c r="G138" i="31" s="1"/>
  <c r="B120" i="37"/>
  <c r="C120" i="37"/>
  <c r="E120" i="37"/>
  <c r="I120" i="37" s="1"/>
  <c r="D139" i="31" s="1"/>
  <c r="G139" i="31" s="1"/>
  <c r="B121" i="37"/>
  <c r="C121" i="37"/>
  <c r="E121" i="37"/>
  <c r="I121" i="37" s="1"/>
  <c r="D140" i="31" s="1"/>
  <c r="G140" i="31" s="1"/>
  <c r="B122" i="37"/>
  <c r="C122" i="37"/>
  <c r="E122" i="37"/>
  <c r="I122" i="37" s="1"/>
  <c r="D141" i="31" s="1"/>
  <c r="G141" i="31" s="1"/>
  <c r="B123" i="37"/>
  <c r="C123" i="37"/>
  <c r="E123" i="37"/>
  <c r="I123" i="37" s="1"/>
  <c r="D142" i="31" s="1"/>
  <c r="H142" i="31" s="1"/>
  <c r="G142" i="31" s="1"/>
  <c r="B124" i="37"/>
  <c r="C124" i="37"/>
  <c r="E124" i="37"/>
  <c r="I124" i="37" s="1"/>
  <c r="D143" i="31" s="1"/>
  <c r="H143" i="31" s="1"/>
  <c r="G143" i="31" s="1"/>
  <c r="B125" i="37"/>
  <c r="C125" i="37"/>
  <c r="E125" i="37"/>
  <c r="I125" i="37" s="1"/>
  <c r="D144" i="31" s="1"/>
  <c r="G144" i="31" s="1"/>
  <c r="B126" i="37"/>
  <c r="C126" i="37"/>
  <c r="E126" i="37"/>
  <c r="I126" i="37" s="1"/>
  <c r="D145" i="31" s="1"/>
  <c r="G145" i="31" s="1"/>
  <c r="B127" i="37"/>
  <c r="C127" i="37"/>
  <c r="E127" i="37"/>
  <c r="I127" i="37" s="1"/>
  <c r="D146" i="31" s="1"/>
  <c r="G146" i="31" s="1"/>
  <c r="B128" i="37"/>
  <c r="C128" i="37"/>
  <c r="E128" i="37"/>
  <c r="I128" i="37" s="1"/>
  <c r="D147" i="31" s="1"/>
  <c r="G147" i="31" s="1"/>
  <c r="B129" i="37"/>
  <c r="C129" i="37"/>
  <c r="E129" i="37"/>
  <c r="I129" i="37" s="1"/>
  <c r="D148" i="31" s="1"/>
  <c r="H148" i="31" s="1"/>
  <c r="G148" i="31" s="1"/>
  <c r="B130" i="37"/>
  <c r="C130" i="37"/>
  <c r="E130" i="37"/>
  <c r="I130" i="37" s="1"/>
  <c r="D149" i="31" s="1"/>
  <c r="G149" i="31" s="1"/>
  <c r="B131" i="37"/>
  <c r="C131" i="37"/>
  <c r="E131" i="37"/>
  <c r="I131" i="37" s="1"/>
  <c r="D150" i="31" s="1"/>
  <c r="H150" i="31" s="1"/>
  <c r="G150" i="31" s="1"/>
  <c r="B132" i="37"/>
  <c r="C132" i="37"/>
  <c r="E132" i="37"/>
  <c r="I132" i="37" s="1"/>
  <c r="D151" i="31" s="1"/>
  <c r="G151" i="31" s="1"/>
  <c r="B133" i="37"/>
  <c r="C133" i="37"/>
  <c r="E133" i="37"/>
  <c r="I133" i="37" s="1"/>
  <c r="D152" i="31" s="1"/>
  <c r="H152" i="31" s="1"/>
  <c r="G152" i="31" s="1"/>
  <c r="B134" i="37"/>
  <c r="C134" i="37"/>
  <c r="E134" i="37"/>
  <c r="I134" i="37" s="1"/>
  <c r="D153" i="31" s="1"/>
  <c r="G153" i="31" s="1"/>
  <c r="B135" i="37"/>
  <c r="C135" i="37"/>
  <c r="E135" i="37"/>
  <c r="I135" i="37" s="1"/>
  <c r="D154" i="31" s="1"/>
  <c r="G154" i="31" s="1"/>
  <c r="B136" i="37"/>
  <c r="C136" i="37"/>
  <c r="E136" i="37"/>
  <c r="I136" i="37" s="1"/>
  <c r="D155" i="31" s="1"/>
  <c r="G155" i="31" s="1"/>
  <c r="B137" i="37"/>
  <c r="C137" i="37"/>
  <c r="E137" i="37"/>
  <c r="I137" i="37" s="1"/>
  <c r="D156" i="31" s="1"/>
  <c r="H156" i="31" s="1"/>
  <c r="G156" i="31" s="1"/>
  <c r="B138" i="37"/>
  <c r="C138" i="37"/>
  <c r="E138" i="37"/>
  <c r="I138" i="37" s="1"/>
  <c r="D157" i="31" s="1"/>
  <c r="G157" i="31" s="1"/>
  <c r="B139" i="37"/>
  <c r="C139" i="37"/>
  <c r="E139" i="37"/>
  <c r="I139" i="37" s="1"/>
  <c r="D158" i="31" s="1"/>
  <c r="G158" i="31" s="1"/>
  <c r="B140" i="37"/>
  <c r="C140" i="37"/>
  <c r="E140" i="37"/>
  <c r="I140" i="37" s="1"/>
  <c r="D159" i="31" s="1"/>
  <c r="G159" i="31" s="1"/>
  <c r="B141" i="37"/>
  <c r="C141" i="37"/>
  <c r="E141" i="37"/>
  <c r="I141" i="37" s="1"/>
  <c r="D170" i="31" s="1"/>
  <c r="G170" i="31" s="1"/>
  <c r="B142" i="37"/>
  <c r="C142" i="37"/>
  <c r="E142" i="37"/>
  <c r="I142" i="37" s="1"/>
  <c r="D171" i="31" s="1"/>
  <c r="G171" i="31" s="1"/>
  <c r="B143" i="37"/>
  <c r="C143" i="37"/>
  <c r="E143" i="37"/>
  <c r="I143" i="37" s="1"/>
  <c r="D172" i="31" s="1"/>
  <c r="G172" i="31" s="1"/>
  <c r="B144" i="37"/>
  <c r="C144" i="37"/>
  <c r="E144" i="37"/>
  <c r="I144" i="37" s="1"/>
  <c r="D173" i="31" s="1"/>
  <c r="G173" i="31" s="1"/>
  <c r="B145" i="37"/>
  <c r="C145" i="37"/>
  <c r="E145" i="37"/>
  <c r="I145" i="37" s="1"/>
  <c r="D174" i="31" s="1"/>
  <c r="G174" i="31" s="1"/>
  <c r="B146" i="37"/>
  <c r="C146" i="37"/>
  <c r="E146" i="37"/>
  <c r="I146" i="37" s="1"/>
  <c r="D175" i="31" s="1"/>
  <c r="G175" i="31" s="1"/>
  <c r="B147" i="37"/>
  <c r="C147" i="37"/>
  <c r="E147" i="37"/>
  <c r="I147" i="37" s="1"/>
  <c r="D176" i="31" s="1"/>
  <c r="G176" i="31" s="1"/>
  <c r="B148" i="37"/>
  <c r="C148" i="37"/>
  <c r="E148" i="37"/>
  <c r="I148" i="37" s="1"/>
  <c r="D177" i="31" s="1"/>
  <c r="G177" i="31" s="1"/>
  <c r="B149" i="37"/>
  <c r="C149" i="37"/>
  <c r="B150" i="37"/>
  <c r="C150" i="37"/>
  <c r="E150" i="37"/>
  <c r="I150" i="37" s="1"/>
  <c r="D179" i="31" s="1"/>
  <c r="G179" i="31" s="1"/>
  <c r="B151" i="37"/>
  <c r="C151" i="37"/>
  <c r="E151" i="37"/>
  <c r="I151" i="37" s="1"/>
  <c r="D180" i="31" s="1"/>
  <c r="H180" i="31" s="1"/>
  <c r="G180" i="31" s="1"/>
  <c r="B152" i="37"/>
  <c r="C152" i="37"/>
  <c r="E152" i="37"/>
  <c r="I152" i="37" s="1"/>
  <c r="D181" i="31" s="1"/>
  <c r="G181" i="31" s="1"/>
  <c r="B153" i="37"/>
  <c r="C153" i="37"/>
  <c r="E153" i="37"/>
  <c r="I153" i="37" s="1"/>
  <c r="D182" i="31" s="1"/>
  <c r="G182" i="31" s="1"/>
  <c r="B154" i="37"/>
  <c r="C154" i="37"/>
  <c r="E154" i="37"/>
  <c r="I154" i="37" s="1"/>
  <c r="D183" i="31" s="1"/>
  <c r="H183" i="31" s="1"/>
  <c r="G183" i="31" s="1"/>
  <c r="B155" i="37"/>
  <c r="C155" i="37"/>
  <c r="E155" i="37"/>
  <c r="I155" i="37" s="1"/>
  <c r="D184" i="31" s="1"/>
  <c r="H184" i="31" s="1"/>
  <c r="G184" i="31" s="1"/>
  <c r="B156" i="37"/>
  <c r="C156" i="37"/>
  <c r="E156" i="37"/>
  <c r="I156" i="37" s="1"/>
  <c r="D185" i="31" s="1"/>
  <c r="G185" i="31" s="1"/>
  <c r="B157" i="37"/>
  <c r="C157" i="37"/>
  <c r="E157" i="37"/>
  <c r="I157" i="37" s="1"/>
  <c r="D186" i="31" s="1"/>
  <c r="G186" i="31" s="1"/>
  <c r="B158" i="37"/>
  <c r="C158" i="37"/>
  <c r="E158" i="37"/>
  <c r="I158" i="37" s="1"/>
  <c r="D187" i="31" s="1"/>
  <c r="H187" i="31" s="1"/>
  <c r="G187" i="31" s="1"/>
  <c r="B159" i="37"/>
  <c r="C159" i="37"/>
  <c r="E159" i="37"/>
  <c r="I159" i="37" s="1"/>
  <c r="D188" i="31" s="1"/>
  <c r="H188" i="31" s="1"/>
  <c r="G188" i="31" s="1"/>
  <c r="B160" i="37"/>
  <c r="C160" i="37"/>
  <c r="E160" i="37"/>
  <c r="I160" i="37" s="1"/>
  <c r="D189" i="31" s="1"/>
  <c r="H189" i="31" s="1"/>
  <c r="G189" i="31" s="1"/>
  <c r="B161" i="37"/>
  <c r="C161" i="37"/>
  <c r="E161" i="37"/>
  <c r="I161" i="37" s="1"/>
  <c r="D190" i="31" s="1"/>
  <c r="H190" i="31" s="1"/>
  <c r="G190" i="31" s="1"/>
  <c r="B162" i="37"/>
  <c r="C162" i="37"/>
  <c r="E162" i="37"/>
  <c r="I162" i="37" s="1"/>
  <c r="D191" i="31" s="1"/>
  <c r="H191" i="31" s="1"/>
  <c r="G191" i="31" s="1"/>
  <c r="B163" i="37"/>
  <c r="C163" i="37"/>
  <c r="E163" i="37"/>
  <c r="I163" i="37" s="1"/>
  <c r="D192" i="31" s="1"/>
  <c r="H192" i="31" s="1"/>
  <c r="G192" i="31" s="1"/>
  <c r="B164" i="37"/>
  <c r="C164" i="37"/>
  <c r="E164" i="37"/>
  <c r="I164" i="37" s="1"/>
  <c r="D193" i="31" s="1"/>
  <c r="H193" i="31" s="1"/>
  <c r="G193" i="31" s="1"/>
  <c r="B165" i="37"/>
  <c r="C165" i="37"/>
  <c r="E165" i="37"/>
  <c r="I165" i="37" s="1"/>
  <c r="D194" i="31" s="1"/>
  <c r="G194" i="31" s="1"/>
  <c r="B166" i="37"/>
  <c r="C166" i="37"/>
  <c r="B167" i="37"/>
  <c r="C167" i="37"/>
  <c r="B168" i="37"/>
  <c r="C168" i="37"/>
  <c r="B169" i="37"/>
  <c r="C169" i="37"/>
  <c r="B170" i="37"/>
  <c r="C170" i="37"/>
  <c r="A2" i="35"/>
  <c r="A12" i="35"/>
  <c r="A13" i="35" s="1"/>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A47" i="35" s="1"/>
  <c r="A48" i="35" s="1"/>
  <c r="A49" i="35" s="1"/>
  <c r="A50" i="35" s="1"/>
  <c r="A51" i="35" s="1"/>
  <c r="A52" i="35" s="1"/>
  <c r="A53" i="35" s="1"/>
  <c r="A54" i="35" s="1"/>
  <c r="A55" i="35" s="1"/>
  <c r="A56" i="35" s="1"/>
  <c r="A57" i="35" s="1"/>
  <c r="A58" i="35" s="1"/>
  <c r="A59" i="35" s="1"/>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A98" i="35" s="1"/>
  <c r="A99" i="35" s="1"/>
  <c r="A100" i="35" s="1"/>
  <c r="A101" i="35" s="1"/>
  <c r="A102" i="35" s="1"/>
  <c r="A103" i="35" s="1"/>
  <c r="A104" i="35" s="1"/>
  <c r="A105" i="35" s="1"/>
  <c r="A106" i="35" s="1"/>
  <c r="A107" i="35" s="1"/>
  <c r="A108" i="35" s="1"/>
  <c r="A109" i="35" s="1"/>
  <c r="A110" i="35" s="1"/>
  <c r="A111" i="35" s="1"/>
  <c r="A112" i="35" s="1"/>
  <c r="A113" i="35" s="1"/>
  <c r="A114" i="35" s="1"/>
  <c r="A115" i="35" s="1"/>
  <c r="A116" i="35" s="1"/>
  <c r="A117" i="35" s="1"/>
  <c r="A118" i="35" s="1"/>
  <c r="A119" i="35" s="1"/>
  <c r="A120" i="35" s="1"/>
  <c r="A121" i="35" s="1"/>
  <c r="A122" i="35" s="1"/>
  <c r="A123" i="35" s="1"/>
  <c r="A124" i="35" s="1"/>
  <c r="A125" i="35" s="1"/>
  <c r="A126" i="35" s="1"/>
  <c r="A127" i="35" s="1"/>
  <c r="A128" i="35" s="1"/>
  <c r="A129" i="35" s="1"/>
  <c r="A130" i="35" s="1"/>
  <c r="A131" i="35" s="1"/>
  <c r="A132" i="35" s="1"/>
  <c r="A133" i="35" s="1"/>
  <c r="A134" i="35" s="1"/>
  <c r="A135" i="35" s="1"/>
  <c r="A136" i="35" s="1"/>
  <c r="A137" i="35" s="1"/>
  <c r="A138" i="35" s="1"/>
  <c r="A139" i="35" s="1"/>
  <c r="A140" i="35" s="1"/>
  <c r="A141" i="35" s="1"/>
  <c r="A142" i="35" s="1"/>
  <c r="A143" i="35" s="1"/>
  <c r="A144" i="35" s="1"/>
  <c r="A145" i="35" s="1"/>
  <c r="A146" i="35" s="1"/>
  <c r="A147" i="35" s="1"/>
  <c r="A148" i="35" s="1"/>
  <c r="A149" i="35" s="1"/>
  <c r="A150" i="35" s="1"/>
  <c r="A151" i="35" s="1"/>
  <c r="A152" i="35" s="1"/>
  <c r="A153" i="35" s="1"/>
  <c r="A154" i="35" s="1"/>
  <c r="A155" i="35" s="1"/>
  <c r="A156" i="35" s="1"/>
  <c r="A157" i="35" s="1"/>
  <c r="A158" i="35" s="1"/>
  <c r="A159" i="35" s="1"/>
  <c r="A160" i="35" s="1"/>
  <c r="A161" i="35" s="1"/>
  <c r="A162" i="35" s="1"/>
  <c r="A163" i="35" s="1"/>
  <c r="A164" i="35" s="1"/>
  <c r="A165" i="35" s="1"/>
  <c r="A166" i="35" s="1"/>
  <c r="A167" i="35" s="1"/>
  <c r="A168" i="35" s="1"/>
  <c r="A169" i="35" s="1"/>
  <c r="A170" i="35" s="1"/>
  <c r="A171" i="35" s="1"/>
  <c r="A172" i="35" s="1"/>
  <c r="A173" i="35" s="1"/>
  <c r="A174" i="35" s="1"/>
  <c r="A175" i="35" s="1"/>
  <c r="A176" i="35" s="1"/>
  <c r="A177" i="35" s="1"/>
  <c r="A178" i="35" s="1"/>
  <c r="A179" i="35" s="1"/>
  <c r="A180" i="35" s="1"/>
  <c r="A181" i="35" s="1"/>
  <c r="A182" i="35" s="1"/>
  <c r="A183" i="35" s="1"/>
  <c r="A184" i="35" s="1"/>
  <c r="A185" i="35" s="1"/>
  <c r="A186" i="35" s="1"/>
  <c r="A187" i="35" s="1"/>
  <c r="A188" i="35" s="1"/>
  <c r="A189" i="35" s="1"/>
  <c r="A190" i="35" s="1"/>
  <c r="A191" i="35" s="1"/>
  <c r="A192" i="35" s="1"/>
  <c r="A193" i="35" s="1"/>
  <c r="A194" i="35" s="1"/>
  <c r="A195" i="35" s="1"/>
  <c r="A196" i="35" s="1"/>
  <c r="A197" i="35" s="1"/>
  <c r="A198" i="35" s="1"/>
  <c r="A199" i="35" s="1"/>
  <c r="A200" i="35" s="1"/>
  <c r="A201" i="35" s="1"/>
  <c r="A202" i="35" s="1"/>
  <c r="A203" i="35" s="1"/>
  <c r="A204" i="35" s="1"/>
  <c r="A205" i="35" s="1"/>
  <c r="A206" i="35" s="1"/>
  <c r="A2" i="53"/>
  <c r="C12" i="53"/>
  <c r="D12" i="53" s="1"/>
  <c r="F12" i="53" s="1"/>
  <c r="A13" i="53"/>
  <c r="A14" i="53" s="1"/>
  <c r="A15" i="53" s="1"/>
  <c r="A16" i="53" s="1"/>
  <c r="A17" i="53" s="1"/>
  <c r="A18" i="53" s="1"/>
  <c r="A19" i="53" s="1"/>
  <c r="A20" i="53" s="1"/>
  <c r="A21" i="53" s="1"/>
  <c r="A22" i="53" s="1"/>
  <c r="D13" i="53"/>
  <c r="D14" i="53"/>
  <c r="D15" i="53"/>
  <c r="D16" i="53"/>
  <c r="D17" i="53"/>
  <c r="D18" i="53"/>
  <c r="D19" i="53"/>
  <c r="A2" i="34"/>
  <c r="A54" i="34" s="1"/>
  <c r="G7" i="34"/>
  <c r="G8" i="34"/>
  <c r="G13" i="34"/>
  <c r="G14" i="34"/>
  <c r="C44" i="34"/>
  <c r="C45" i="34" s="1"/>
  <c r="D44" i="34"/>
  <c r="D45" i="34" s="1"/>
  <c r="C50" i="34"/>
  <c r="D50" i="34"/>
  <c r="A53" i="34"/>
  <c r="D63" i="34"/>
  <c r="E63" i="34"/>
  <c r="F63" i="34"/>
  <c r="G6" i="30"/>
  <c r="H6" i="30"/>
  <c r="G15" i="30"/>
  <c r="H15" i="30"/>
  <c r="E21" i="30"/>
  <c r="F21" i="30"/>
  <c r="E22" i="30"/>
  <c r="F22" i="30"/>
  <c r="E23" i="30"/>
  <c r="F23" i="30"/>
  <c r="E24" i="30"/>
  <c r="F24" i="30"/>
  <c r="B11" i="65"/>
  <c r="C11" i="65"/>
  <c r="E11" i="65"/>
  <c r="J11" i="65"/>
  <c r="A12" i="65"/>
  <c r="A13" i="65" s="1"/>
  <c r="A14" i="65" s="1"/>
  <c r="A15" i="65" s="1"/>
  <c r="A16" i="65" s="1"/>
  <c r="A17" i="65" s="1"/>
  <c r="A18" i="65" s="1"/>
  <c r="A19" i="65" s="1"/>
  <c r="A20" i="65" s="1"/>
  <c r="A21" i="65" s="1"/>
  <c r="A22" i="65" s="1"/>
  <c r="A23" i="65" s="1"/>
  <c r="A24" i="65" s="1"/>
  <c r="A25" i="65" s="1"/>
  <c r="A26" i="65" s="1"/>
  <c r="A27" i="65" s="1"/>
  <c r="A28" i="65" s="1"/>
  <c r="A29" i="65" s="1"/>
  <c r="A30" i="65" s="1"/>
  <c r="A31" i="65" s="1"/>
  <c r="A32" i="65" s="1"/>
  <c r="A33" i="65" s="1"/>
  <c r="A34" i="65" s="1"/>
  <c r="A35" i="65" s="1"/>
  <c r="A36" i="65" s="1"/>
  <c r="A37" i="65" s="1"/>
  <c r="A38" i="65" s="1"/>
  <c r="A39" i="65" s="1"/>
  <c r="A40" i="65" s="1"/>
  <c r="A41" i="65" s="1"/>
  <c r="A42" i="65" s="1"/>
  <c r="A43" i="65" s="1"/>
  <c r="A44" i="65" s="1"/>
  <c r="A45" i="65" s="1"/>
  <c r="A46" i="65" s="1"/>
  <c r="A47" i="65" s="1"/>
  <c r="A48" i="65" s="1"/>
  <c r="A49" i="65" s="1"/>
  <c r="A50" i="65" s="1"/>
  <c r="A51" i="65" s="1"/>
  <c r="A52" i="65" s="1"/>
  <c r="A53" i="65" s="1"/>
  <c r="A54" i="65" s="1"/>
  <c r="A55" i="65" s="1"/>
  <c r="A56" i="65" s="1"/>
  <c r="A57" i="65" s="1"/>
  <c r="A58" i="65" s="1"/>
  <c r="A59" i="65" s="1"/>
  <c r="A60" i="65" s="1"/>
  <c r="A71" i="65" s="1"/>
  <c r="A72" i="65" s="1"/>
  <c r="A73" i="65" s="1"/>
  <c r="A74" i="65" s="1"/>
  <c r="A75" i="65" s="1"/>
  <c r="A76" i="65" s="1"/>
  <c r="A77" i="65" s="1"/>
  <c r="A78" i="65" s="1"/>
  <c r="A79" i="65" s="1"/>
  <c r="A80" i="65" s="1"/>
  <c r="A81" i="65" s="1"/>
  <c r="A82" i="65" s="1"/>
  <c r="A83" i="65" s="1"/>
  <c r="A84" i="65" s="1"/>
  <c r="A85" i="65" s="1"/>
  <c r="A86" i="65" s="1"/>
  <c r="A87" i="65" s="1"/>
  <c r="A88" i="65" s="1"/>
  <c r="A89" i="65" s="1"/>
  <c r="A90" i="65" s="1"/>
  <c r="A91" i="65" s="1"/>
  <c r="A92" i="65" s="1"/>
  <c r="A93" i="65" s="1"/>
  <c r="A94" i="65" s="1"/>
  <c r="A95" i="65" s="1"/>
  <c r="A96" i="65" s="1"/>
  <c r="A97" i="65" s="1"/>
  <c r="A98" i="65" s="1"/>
  <c r="A99" i="65" s="1"/>
  <c r="A100" i="65" s="1"/>
  <c r="A101" i="65" s="1"/>
  <c r="A102" i="65" s="1"/>
  <c r="A103" i="65" s="1"/>
  <c r="A104" i="65" s="1"/>
  <c r="A105" i="65" s="1"/>
  <c r="A106" i="65" s="1"/>
  <c r="A107" i="65" s="1"/>
  <c r="A108" i="65" s="1"/>
  <c r="A109" i="65" s="1"/>
  <c r="A110" i="65" s="1"/>
  <c r="A111" i="65" s="1"/>
  <c r="A112" i="65" s="1"/>
  <c r="A113" i="65" s="1"/>
  <c r="A114" i="65" s="1"/>
  <c r="A115" i="65" s="1"/>
  <c r="A116" i="65" s="1"/>
  <c r="A117" i="65" s="1"/>
  <c r="A118" i="65" s="1"/>
  <c r="A119" i="65" s="1"/>
  <c r="A120" i="65" s="1"/>
  <c r="A131" i="65" s="1"/>
  <c r="A132" i="65" s="1"/>
  <c r="A133" i="65" s="1"/>
  <c r="A134" i="65" s="1"/>
  <c r="A135" i="65" s="1"/>
  <c r="A136" i="65" s="1"/>
  <c r="A137" i="65" s="1"/>
  <c r="A138" i="65" s="1"/>
  <c r="A139" i="65" s="1"/>
  <c r="A140" i="65" s="1"/>
  <c r="A141" i="65" s="1"/>
  <c r="A142" i="65" s="1"/>
  <c r="A143" i="65" s="1"/>
  <c r="A144" i="65" s="1"/>
  <c r="A145" i="65" s="1"/>
  <c r="A146" i="65" s="1"/>
  <c r="A147" i="65" s="1"/>
  <c r="A148" i="65" s="1"/>
  <c r="A149" i="65" s="1"/>
  <c r="A150" i="65" s="1"/>
  <c r="A151" i="65" s="1"/>
  <c r="A152" i="65" s="1"/>
  <c r="A153" i="65" s="1"/>
  <c r="A154" i="65" s="1"/>
  <c r="A155" i="65" s="1"/>
  <c r="A156" i="65" s="1"/>
  <c r="A157" i="65" s="1"/>
  <c r="A158" i="65" s="1"/>
  <c r="A159" i="65" s="1"/>
  <c r="A160" i="65" s="1"/>
  <c r="A161" i="65" s="1"/>
  <c r="A162" i="65" s="1"/>
  <c r="A163" i="65" s="1"/>
  <c r="A164" i="65" s="1"/>
  <c r="A165" i="65" s="1"/>
  <c r="A166" i="65" s="1"/>
  <c r="A167" i="65" s="1"/>
  <c r="A168" i="65" s="1"/>
  <c r="A169" i="65" s="1"/>
  <c r="A170" i="65" s="1"/>
  <c r="A171" i="65" s="1"/>
  <c r="A172" i="65" s="1"/>
  <c r="A173" i="65" s="1"/>
  <c r="A174" i="65" s="1"/>
  <c r="A175" i="65" s="1"/>
  <c r="A176" i="65" s="1"/>
  <c r="A177" i="65" s="1"/>
  <c r="A178" i="65" s="1"/>
  <c r="A179" i="65" s="1"/>
  <c r="A180" i="65" s="1"/>
  <c r="A191" i="65" s="1"/>
  <c r="A192" i="65" s="1"/>
  <c r="A193" i="65" s="1"/>
  <c r="A194" i="65" s="1"/>
  <c r="A195" i="65" s="1"/>
  <c r="A196" i="65" s="1"/>
  <c r="A197" i="65" s="1"/>
  <c r="A198" i="65" s="1"/>
  <c r="A199" i="65" s="1"/>
  <c r="A200" i="65" s="1"/>
  <c r="A201" i="65" s="1"/>
  <c r="A202" i="65" s="1"/>
  <c r="A203" i="65" s="1"/>
  <c r="A204" i="65" s="1"/>
  <c r="A205" i="65" s="1"/>
  <c r="A206" i="65" s="1"/>
  <c r="A207" i="65" s="1"/>
  <c r="A208" i="65" s="1"/>
  <c r="A209" i="65" s="1"/>
  <c r="A210" i="65" s="1"/>
  <c r="A211" i="65" s="1"/>
  <c r="A212" i="65" s="1"/>
  <c r="A213" i="65" s="1"/>
  <c r="A214" i="65" s="1"/>
  <c r="A215" i="65" s="1"/>
  <c r="A216" i="65" s="1"/>
  <c r="A217" i="65" s="1"/>
  <c r="A218" i="65" s="1"/>
  <c r="A219" i="65" s="1"/>
  <c r="A220" i="65" s="1"/>
  <c r="A221" i="65" s="1"/>
  <c r="A222" i="65" s="1"/>
  <c r="A223" i="65" s="1"/>
  <c r="A224" i="65" s="1"/>
  <c r="A225" i="65" s="1"/>
  <c r="A226" i="65" s="1"/>
  <c r="A227" i="65" s="1"/>
  <c r="A228" i="65" s="1"/>
  <c r="A229" i="65" s="1"/>
  <c r="A230" i="65" s="1"/>
  <c r="A231" i="65" s="1"/>
  <c r="A232" i="65" s="1"/>
  <c r="A233" i="65" s="1"/>
  <c r="A234" i="65" s="1"/>
  <c r="A235" i="65" s="1"/>
  <c r="A236" i="65" s="1"/>
  <c r="A237" i="65" s="1"/>
  <c r="A238" i="65" s="1"/>
  <c r="A239" i="65" s="1"/>
  <c r="A240" i="65" s="1"/>
  <c r="A251" i="65" s="1"/>
  <c r="A252" i="65" s="1"/>
  <c r="A253" i="65" s="1"/>
  <c r="A254" i="65" s="1"/>
  <c r="A255" i="65" s="1"/>
  <c r="A256" i="65" s="1"/>
  <c r="A257" i="65" s="1"/>
  <c r="A258" i="65" s="1"/>
  <c r="A259" i="65" s="1"/>
  <c r="A260" i="65" s="1"/>
  <c r="A261" i="65" s="1"/>
  <c r="A262" i="65" s="1"/>
  <c r="A263" i="65" s="1"/>
  <c r="A264" i="65" s="1"/>
  <c r="A265" i="65" s="1"/>
  <c r="A266" i="65" s="1"/>
  <c r="A267" i="65" s="1"/>
  <c r="A268" i="65" s="1"/>
  <c r="A269" i="65" s="1"/>
  <c r="A270" i="65" s="1"/>
  <c r="A271" i="65" s="1"/>
  <c r="A272" i="65" s="1"/>
  <c r="A273" i="65" s="1"/>
  <c r="A274" i="65" s="1"/>
  <c r="A275" i="65" s="1"/>
  <c r="A276" i="65" s="1"/>
  <c r="A277" i="65" s="1"/>
  <c r="A278" i="65" s="1"/>
  <c r="A279" i="65" s="1"/>
  <c r="A280" i="65" s="1"/>
  <c r="A281" i="65" s="1"/>
  <c r="A282" i="65" s="1"/>
  <c r="A283" i="65" s="1"/>
  <c r="A284" i="65" s="1"/>
  <c r="A285" i="65" s="1"/>
  <c r="A286" i="65" s="1"/>
  <c r="A287" i="65" s="1"/>
  <c r="A288" i="65" s="1"/>
  <c r="A289" i="65" s="1"/>
  <c r="A290" i="65" s="1"/>
  <c r="A291" i="65" s="1"/>
  <c r="A292" i="65" s="1"/>
  <c r="A293" i="65" s="1"/>
  <c r="A294" i="65" s="1"/>
  <c r="A295" i="65" s="1"/>
  <c r="A296" i="65" s="1"/>
  <c r="A297" i="65" s="1"/>
  <c r="A298" i="65" s="1"/>
  <c r="A299" i="65" s="1"/>
  <c r="A300" i="65" s="1"/>
  <c r="A311" i="65" s="1"/>
  <c r="A312" i="65" s="1"/>
  <c r="A313" i="65" s="1"/>
  <c r="A314" i="65" s="1"/>
  <c r="A315" i="65" s="1"/>
  <c r="A316" i="65" s="1"/>
  <c r="A317" i="65" s="1"/>
  <c r="A318" i="65" s="1"/>
  <c r="A319" i="65" s="1"/>
  <c r="A320" i="65" s="1"/>
  <c r="A321" i="65" s="1"/>
  <c r="A322" i="65" s="1"/>
  <c r="A323" i="65" s="1"/>
  <c r="A324" i="65" s="1"/>
  <c r="A325" i="65" s="1"/>
  <c r="A326" i="65" s="1"/>
  <c r="A327" i="65" s="1"/>
  <c r="A328" i="65" s="1"/>
  <c r="A329" i="65" s="1"/>
  <c r="A330" i="65" s="1"/>
  <c r="A331" i="65" s="1"/>
  <c r="A332" i="65" s="1"/>
  <c r="A333" i="65" s="1"/>
  <c r="A334" i="65" s="1"/>
  <c r="A335" i="65" s="1"/>
  <c r="A336" i="65" s="1"/>
  <c r="A337" i="65" s="1"/>
  <c r="A338" i="65" s="1"/>
  <c r="A339" i="65" s="1"/>
  <c r="A340" i="65" s="1"/>
  <c r="A341" i="65" s="1"/>
  <c r="A342" i="65" s="1"/>
  <c r="A343" i="65" s="1"/>
  <c r="A344" i="65" s="1"/>
  <c r="A345" i="65" s="1"/>
  <c r="A346" i="65" s="1"/>
  <c r="A347" i="65" s="1"/>
  <c r="A348" i="65" s="1"/>
  <c r="A349" i="65" s="1"/>
  <c r="A350" i="65" s="1"/>
  <c r="A351" i="65" s="1"/>
  <c r="A352" i="65" s="1"/>
  <c r="A353" i="65" s="1"/>
  <c r="A354" i="65" s="1"/>
  <c r="A355" i="65" s="1"/>
  <c r="A356" i="65" s="1"/>
  <c r="A357" i="65" s="1"/>
  <c r="A358" i="65" s="1"/>
  <c r="A359" i="65" s="1"/>
  <c r="A360" i="65" s="1"/>
  <c r="A371" i="65" s="1"/>
  <c r="A372" i="65" s="1"/>
  <c r="A373" i="65" s="1"/>
  <c r="A374" i="65" s="1"/>
  <c r="A375" i="65" s="1"/>
  <c r="A376" i="65" s="1"/>
  <c r="A377" i="65" s="1"/>
  <c r="A378" i="65" s="1"/>
  <c r="A379" i="65" s="1"/>
  <c r="A380" i="65" s="1"/>
  <c r="B12" i="65"/>
  <c r="C12" i="65"/>
  <c r="E12" i="65"/>
  <c r="J12" i="65"/>
  <c r="B13" i="65"/>
  <c r="C13" i="65"/>
  <c r="E13" i="65"/>
  <c r="J13" i="65"/>
  <c r="B14" i="65"/>
  <c r="C14" i="65"/>
  <c r="E14" i="65"/>
  <c r="J14" i="65"/>
  <c r="B15" i="65"/>
  <c r="C15" i="65"/>
  <c r="E15" i="65"/>
  <c r="J15" i="65"/>
  <c r="B16" i="65"/>
  <c r="C16" i="65"/>
  <c r="E16" i="65"/>
  <c r="J16" i="65"/>
  <c r="B17" i="65"/>
  <c r="C17" i="65"/>
  <c r="E17" i="65"/>
  <c r="J17" i="65"/>
  <c r="B18" i="65"/>
  <c r="C18" i="65"/>
  <c r="E18" i="65"/>
  <c r="J18" i="65"/>
  <c r="B19" i="65"/>
  <c r="C19" i="65"/>
  <c r="E19" i="65"/>
  <c r="J19" i="65"/>
  <c r="B20" i="65"/>
  <c r="C20" i="65"/>
  <c r="E20" i="65"/>
  <c r="J20" i="65"/>
  <c r="B21" i="65"/>
  <c r="C21" i="65"/>
  <c r="E21" i="65"/>
  <c r="J21" i="65"/>
  <c r="B22" i="65"/>
  <c r="C22" i="65"/>
  <c r="E22" i="65"/>
  <c r="J22" i="65"/>
  <c r="B23" i="65"/>
  <c r="C23" i="65"/>
  <c r="E23" i="65"/>
  <c r="J23" i="65"/>
  <c r="B24" i="65"/>
  <c r="C24" i="65"/>
  <c r="E24" i="65"/>
  <c r="J24" i="65"/>
  <c r="B25" i="65"/>
  <c r="C25" i="65"/>
  <c r="E25" i="65"/>
  <c r="J25" i="65"/>
  <c r="B26" i="65"/>
  <c r="C26" i="65"/>
  <c r="E26" i="65"/>
  <c r="J26" i="65"/>
  <c r="B27" i="65"/>
  <c r="C27" i="65"/>
  <c r="E27" i="65"/>
  <c r="J27" i="65"/>
  <c r="B28" i="65"/>
  <c r="C28" i="65"/>
  <c r="E28" i="65"/>
  <c r="J28" i="65"/>
  <c r="B29" i="65"/>
  <c r="C29" i="65"/>
  <c r="E29" i="65"/>
  <c r="J29" i="65"/>
  <c r="B30" i="65"/>
  <c r="C30" i="65"/>
  <c r="E30" i="65"/>
  <c r="J30" i="65"/>
  <c r="B31" i="65"/>
  <c r="C31" i="65"/>
  <c r="E31" i="65"/>
  <c r="J31" i="65"/>
  <c r="B32" i="65"/>
  <c r="C32" i="65"/>
  <c r="E32" i="65"/>
  <c r="J32" i="65"/>
  <c r="B33" i="65"/>
  <c r="C33" i="65"/>
  <c r="E33" i="65"/>
  <c r="J33" i="65"/>
  <c r="B34" i="65"/>
  <c r="C34" i="65"/>
  <c r="E34" i="65"/>
  <c r="J34" i="65"/>
  <c r="B35" i="65"/>
  <c r="C35" i="65"/>
  <c r="E35" i="65"/>
  <c r="J35" i="65"/>
  <c r="B36" i="65"/>
  <c r="C36" i="65"/>
  <c r="E36" i="65"/>
  <c r="J36" i="65"/>
  <c r="B37" i="65"/>
  <c r="C37" i="65"/>
  <c r="E37" i="65"/>
  <c r="J37" i="65"/>
  <c r="B38" i="65"/>
  <c r="C38" i="65"/>
  <c r="E38" i="65"/>
  <c r="J38" i="65"/>
  <c r="B39" i="65"/>
  <c r="C39" i="65"/>
  <c r="E39" i="65"/>
  <c r="J39" i="65"/>
  <c r="B40" i="65"/>
  <c r="C40" i="65"/>
  <c r="E40" i="65"/>
  <c r="J40" i="65"/>
  <c r="B41" i="65"/>
  <c r="C41" i="65"/>
  <c r="E41" i="65"/>
  <c r="J41" i="65"/>
  <c r="B42" i="65"/>
  <c r="C42" i="65"/>
  <c r="E42" i="65"/>
  <c r="J42" i="65"/>
  <c r="B43" i="65"/>
  <c r="C43" i="65"/>
  <c r="E43" i="65"/>
  <c r="J43" i="65"/>
  <c r="B44" i="65"/>
  <c r="C44" i="65"/>
  <c r="E44" i="65"/>
  <c r="J44" i="65"/>
  <c r="B45" i="65"/>
  <c r="C45" i="65"/>
  <c r="E45" i="65"/>
  <c r="J45" i="65"/>
  <c r="B46" i="65"/>
  <c r="C46" i="65"/>
  <c r="E46" i="65"/>
  <c r="J46" i="65"/>
  <c r="B47" i="65"/>
  <c r="C47" i="65"/>
  <c r="E47" i="65"/>
  <c r="J47" i="65"/>
  <c r="B48" i="65"/>
  <c r="C48" i="65"/>
  <c r="E48" i="65"/>
  <c r="J48" i="65"/>
  <c r="B49" i="65"/>
  <c r="C49" i="65"/>
  <c r="E49" i="65"/>
  <c r="J49" i="65"/>
  <c r="B50" i="65"/>
  <c r="C50" i="65"/>
  <c r="E50" i="65"/>
  <c r="J50" i="65"/>
  <c r="B51" i="65"/>
  <c r="C51" i="65"/>
  <c r="E51" i="65"/>
  <c r="J51" i="65"/>
  <c r="B52" i="65"/>
  <c r="C52" i="65"/>
  <c r="E52" i="65"/>
  <c r="J52" i="65"/>
  <c r="B53" i="65"/>
  <c r="C53" i="65"/>
  <c r="E53" i="65"/>
  <c r="J53" i="65"/>
  <c r="B54" i="65"/>
  <c r="C54" i="65"/>
  <c r="E54" i="65"/>
  <c r="J54" i="65"/>
  <c r="B55" i="65"/>
  <c r="C55" i="65"/>
  <c r="E55" i="65"/>
  <c r="J55" i="65"/>
  <c r="B56" i="65"/>
  <c r="C56" i="65"/>
  <c r="E56" i="65"/>
  <c r="J56" i="65"/>
  <c r="B57" i="65"/>
  <c r="C57" i="65"/>
  <c r="E57" i="65"/>
  <c r="J57" i="65"/>
  <c r="B58" i="65"/>
  <c r="C58" i="65"/>
  <c r="E58" i="65"/>
  <c r="J58" i="65"/>
  <c r="B59" i="65"/>
  <c r="C59" i="65"/>
  <c r="E59" i="65"/>
  <c r="J59" i="65"/>
  <c r="B60" i="65"/>
  <c r="C60" i="65"/>
  <c r="E60" i="65"/>
  <c r="J60" i="65"/>
  <c r="B71" i="65"/>
  <c r="C71" i="65"/>
  <c r="E71" i="65"/>
  <c r="J71" i="65"/>
  <c r="B72" i="65"/>
  <c r="C72" i="65"/>
  <c r="E72" i="65"/>
  <c r="J72" i="65"/>
  <c r="B73" i="65"/>
  <c r="C73" i="65"/>
  <c r="E73" i="65"/>
  <c r="J73" i="65"/>
  <c r="B74" i="65"/>
  <c r="C74" i="65"/>
  <c r="E74" i="65"/>
  <c r="J74" i="65"/>
  <c r="B75" i="65"/>
  <c r="C75" i="65"/>
  <c r="E75" i="65"/>
  <c r="J75" i="65"/>
  <c r="B76" i="65"/>
  <c r="C76" i="65"/>
  <c r="E76" i="65"/>
  <c r="J76" i="65"/>
  <c r="B77" i="65"/>
  <c r="C77" i="65"/>
  <c r="E77" i="65"/>
  <c r="J77" i="65"/>
  <c r="B78" i="65"/>
  <c r="C78" i="65"/>
  <c r="E78" i="65"/>
  <c r="J78" i="65"/>
  <c r="B79" i="65"/>
  <c r="C79" i="65"/>
  <c r="E79" i="65"/>
  <c r="J79" i="65"/>
  <c r="B80" i="65"/>
  <c r="C80" i="65"/>
  <c r="E80" i="65"/>
  <c r="J80" i="65"/>
  <c r="B81" i="65"/>
  <c r="C81" i="65"/>
  <c r="E81" i="65"/>
  <c r="J81" i="65"/>
  <c r="B82" i="65"/>
  <c r="C82" i="65"/>
  <c r="E82" i="65"/>
  <c r="J82" i="65"/>
  <c r="B83" i="65"/>
  <c r="C83" i="65"/>
  <c r="E83" i="65"/>
  <c r="J83" i="65"/>
  <c r="B84" i="65"/>
  <c r="C84" i="65"/>
  <c r="E84" i="65"/>
  <c r="J84" i="65"/>
  <c r="B85" i="65"/>
  <c r="C85" i="65"/>
  <c r="E85" i="65"/>
  <c r="J85" i="65"/>
  <c r="B86" i="65"/>
  <c r="C86" i="65"/>
  <c r="E86" i="65"/>
  <c r="J86" i="65"/>
  <c r="B87" i="65"/>
  <c r="C87" i="65"/>
  <c r="E87" i="65"/>
  <c r="J87" i="65"/>
  <c r="B88" i="65"/>
  <c r="C88" i="65"/>
  <c r="E88" i="65"/>
  <c r="J88" i="65"/>
  <c r="B89" i="65"/>
  <c r="C89" i="65"/>
  <c r="E89" i="65"/>
  <c r="J89" i="65"/>
  <c r="B90" i="65"/>
  <c r="C90" i="65"/>
  <c r="E90" i="65"/>
  <c r="J90" i="65"/>
  <c r="B91" i="65"/>
  <c r="C91" i="65"/>
  <c r="E91" i="65"/>
  <c r="J91" i="65"/>
  <c r="B92" i="65"/>
  <c r="C92" i="65"/>
  <c r="E92" i="65"/>
  <c r="J92" i="65"/>
  <c r="B93" i="65"/>
  <c r="C93" i="65"/>
  <c r="E93" i="65"/>
  <c r="J93" i="65"/>
  <c r="B94" i="65"/>
  <c r="C94" i="65"/>
  <c r="E94" i="65"/>
  <c r="J94" i="65"/>
  <c r="B95" i="65"/>
  <c r="C95" i="65"/>
  <c r="E95" i="65"/>
  <c r="J95" i="65"/>
  <c r="B96" i="65"/>
  <c r="C96" i="65"/>
  <c r="E96" i="65"/>
  <c r="J96" i="65"/>
  <c r="B97" i="65"/>
  <c r="C97" i="65"/>
  <c r="E97" i="65"/>
  <c r="J97" i="65"/>
  <c r="B98" i="65"/>
  <c r="C98" i="65"/>
  <c r="E98" i="65"/>
  <c r="J98" i="65"/>
  <c r="B99" i="65"/>
  <c r="C99" i="65"/>
  <c r="E99" i="65"/>
  <c r="J99" i="65"/>
  <c r="B100" i="65"/>
  <c r="C100" i="65"/>
  <c r="E100" i="65"/>
  <c r="J100" i="65"/>
  <c r="B101" i="65"/>
  <c r="C101" i="65"/>
  <c r="E101" i="65"/>
  <c r="J101" i="65"/>
  <c r="B102" i="65"/>
  <c r="C102" i="65"/>
  <c r="E102" i="65"/>
  <c r="J102" i="65"/>
  <c r="B103" i="65"/>
  <c r="C103" i="65"/>
  <c r="E103" i="65"/>
  <c r="J103" i="65"/>
  <c r="B104" i="65"/>
  <c r="C104" i="65"/>
  <c r="E104" i="65"/>
  <c r="J104" i="65"/>
  <c r="B105" i="65"/>
  <c r="C105" i="65"/>
  <c r="E105" i="65"/>
  <c r="J105" i="65"/>
  <c r="B106" i="65"/>
  <c r="C106" i="65"/>
  <c r="E106" i="65"/>
  <c r="J106" i="65"/>
  <c r="B107" i="65"/>
  <c r="C107" i="65"/>
  <c r="E107" i="65"/>
  <c r="J107" i="65"/>
  <c r="B108" i="65"/>
  <c r="C108" i="65"/>
  <c r="E108" i="65"/>
  <c r="J108" i="65"/>
  <c r="B109" i="65"/>
  <c r="C109" i="65"/>
  <c r="E109" i="65"/>
  <c r="J109" i="65"/>
  <c r="B110" i="65"/>
  <c r="C110" i="65"/>
  <c r="E110" i="65"/>
  <c r="J110" i="65"/>
  <c r="B111" i="65"/>
  <c r="C111" i="65"/>
  <c r="E111" i="65"/>
  <c r="J111" i="65"/>
  <c r="B112" i="65"/>
  <c r="C112" i="65"/>
  <c r="E112" i="65"/>
  <c r="J112" i="65"/>
  <c r="B113" i="65"/>
  <c r="C113" i="65"/>
  <c r="E113" i="65"/>
  <c r="J113" i="65"/>
  <c r="B114" i="65"/>
  <c r="C114" i="65"/>
  <c r="E114" i="65"/>
  <c r="J114" i="65"/>
  <c r="B115" i="65"/>
  <c r="C115" i="65"/>
  <c r="E115" i="65"/>
  <c r="J115" i="65"/>
  <c r="B116" i="65"/>
  <c r="C116" i="65"/>
  <c r="E116" i="65"/>
  <c r="J116" i="65"/>
  <c r="B117" i="65"/>
  <c r="C117" i="65"/>
  <c r="E117" i="65"/>
  <c r="J117" i="65"/>
  <c r="B118" i="65"/>
  <c r="C118" i="65"/>
  <c r="E118" i="65"/>
  <c r="J118" i="65"/>
  <c r="B119" i="65"/>
  <c r="C119" i="65"/>
  <c r="E119" i="65"/>
  <c r="J119" i="65"/>
  <c r="B120" i="65"/>
  <c r="C120" i="65"/>
  <c r="E120" i="65"/>
  <c r="J120" i="65"/>
  <c r="B131" i="65"/>
  <c r="C131" i="65"/>
  <c r="E131" i="65"/>
  <c r="J131" i="65"/>
  <c r="B132" i="65"/>
  <c r="C132" i="65"/>
  <c r="E132" i="65"/>
  <c r="J132" i="65"/>
  <c r="B133" i="65"/>
  <c r="C133" i="65"/>
  <c r="E133" i="65"/>
  <c r="J133" i="65"/>
  <c r="B134" i="65"/>
  <c r="C134" i="65"/>
  <c r="E134" i="65"/>
  <c r="J134" i="65"/>
  <c r="B135" i="65"/>
  <c r="C135" i="65"/>
  <c r="E135" i="65"/>
  <c r="J135" i="65"/>
  <c r="B136" i="65"/>
  <c r="C136" i="65"/>
  <c r="E136" i="65"/>
  <c r="J136" i="65"/>
  <c r="B137" i="65"/>
  <c r="C137" i="65"/>
  <c r="E137" i="65"/>
  <c r="J137" i="65"/>
  <c r="B138" i="65"/>
  <c r="C138" i="65"/>
  <c r="E138" i="65"/>
  <c r="J138" i="65"/>
  <c r="B139" i="65"/>
  <c r="C139" i="65"/>
  <c r="E139" i="65"/>
  <c r="J139" i="65"/>
  <c r="B140" i="65"/>
  <c r="C140" i="65"/>
  <c r="E140" i="65"/>
  <c r="J140" i="65"/>
  <c r="B141" i="65"/>
  <c r="C141" i="65"/>
  <c r="E141" i="65"/>
  <c r="J141" i="65"/>
  <c r="B142" i="65"/>
  <c r="C142" i="65"/>
  <c r="E142" i="65"/>
  <c r="J142" i="65"/>
  <c r="B143" i="65"/>
  <c r="C143" i="65"/>
  <c r="E143" i="65"/>
  <c r="J143" i="65"/>
  <c r="B144" i="65"/>
  <c r="C144" i="65"/>
  <c r="E144" i="65"/>
  <c r="J144" i="65"/>
  <c r="B145" i="65"/>
  <c r="C145" i="65"/>
  <c r="E145" i="65"/>
  <c r="J145" i="65"/>
  <c r="B146" i="65"/>
  <c r="C146" i="65"/>
  <c r="E146" i="65"/>
  <c r="J146" i="65"/>
  <c r="B147" i="65"/>
  <c r="C147" i="65"/>
  <c r="E147" i="65"/>
  <c r="J147" i="65"/>
  <c r="B148" i="65"/>
  <c r="C148" i="65"/>
  <c r="E148" i="65"/>
  <c r="J148" i="65"/>
  <c r="B149" i="65"/>
  <c r="C149" i="65"/>
  <c r="E149" i="65"/>
  <c r="J149" i="65"/>
  <c r="B150" i="65"/>
  <c r="C150" i="65"/>
  <c r="E150" i="65"/>
  <c r="J150" i="65"/>
  <c r="B151" i="65"/>
  <c r="C151" i="65"/>
  <c r="E151" i="65"/>
  <c r="J151" i="65"/>
  <c r="B152" i="65"/>
  <c r="C152" i="65"/>
  <c r="E152" i="65"/>
  <c r="J152" i="65"/>
  <c r="B153" i="65"/>
  <c r="C153" i="65"/>
  <c r="E153" i="65"/>
  <c r="J153" i="65"/>
  <c r="B154" i="65"/>
  <c r="C154" i="65"/>
  <c r="E154" i="65"/>
  <c r="J154" i="65"/>
  <c r="B155" i="65"/>
  <c r="C155" i="65"/>
  <c r="E155" i="65"/>
  <c r="J155" i="65"/>
  <c r="B156" i="65"/>
  <c r="C156" i="65"/>
  <c r="E156" i="65"/>
  <c r="J156" i="65"/>
  <c r="B157" i="65"/>
  <c r="C157" i="65"/>
  <c r="E157" i="65"/>
  <c r="J157" i="65"/>
  <c r="B158" i="65"/>
  <c r="C158" i="65"/>
  <c r="E158" i="65"/>
  <c r="J158" i="65"/>
  <c r="B159" i="65"/>
  <c r="C159" i="65"/>
  <c r="E159" i="65"/>
  <c r="J159" i="65"/>
  <c r="B160" i="65"/>
  <c r="C160" i="65"/>
  <c r="E160" i="65"/>
  <c r="J160" i="65"/>
  <c r="B161" i="65"/>
  <c r="C161" i="65"/>
  <c r="E161" i="65"/>
  <c r="J161" i="65"/>
  <c r="B162" i="65"/>
  <c r="C162" i="65"/>
  <c r="E162" i="65"/>
  <c r="J162" i="65"/>
  <c r="B163" i="65"/>
  <c r="C163" i="65"/>
  <c r="E163" i="65"/>
  <c r="J163" i="65"/>
  <c r="B164" i="65"/>
  <c r="C164" i="65"/>
  <c r="E164" i="65"/>
  <c r="J164" i="65"/>
  <c r="B165" i="65"/>
  <c r="C165" i="65"/>
  <c r="E165" i="65"/>
  <c r="J165" i="65"/>
  <c r="B166" i="65"/>
  <c r="C166" i="65"/>
  <c r="E166" i="65"/>
  <c r="J166" i="65"/>
  <c r="B167" i="65"/>
  <c r="C167" i="65"/>
  <c r="E167" i="65"/>
  <c r="J167" i="65"/>
  <c r="B168" i="65"/>
  <c r="C168" i="65"/>
  <c r="E168" i="65"/>
  <c r="J168" i="65"/>
  <c r="B169" i="65"/>
  <c r="C169" i="65"/>
  <c r="E169" i="65"/>
  <c r="J169" i="65"/>
  <c r="B170" i="65"/>
  <c r="C170" i="65"/>
  <c r="E170" i="65"/>
  <c r="J170" i="65"/>
  <c r="B171" i="65"/>
  <c r="C171" i="65"/>
  <c r="E171" i="65"/>
  <c r="J171" i="65"/>
  <c r="B172" i="65"/>
  <c r="C172" i="65"/>
  <c r="E172" i="65"/>
  <c r="J172" i="65"/>
  <c r="B173" i="65"/>
  <c r="C173" i="65"/>
  <c r="E173" i="65"/>
  <c r="J173" i="65"/>
  <c r="B174" i="65"/>
  <c r="C174" i="65"/>
  <c r="E174" i="65"/>
  <c r="J174" i="65"/>
  <c r="B175" i="65"/>
  <c r="C175" i="65"/>
  <c r="E175" i="65"/>
  <c r="J175" i="65"/>
  <c r="B176" i="65"/>
  <c r="C176" i="65"/>
  <c r="E176" i="65"/>
  <c r="J176" i="65"/>
  <c r="B177" i="65"/>
  <c r="C177" i="65"/>
  <c r="E177" i="65"/>
  <c r="J177" i="65"/>
  <c r="B178" i="65"/>
  <c r="C178" i="65"/>
  <c r="E178" i="65"/>
  <c r="J178" i="65"/>
  <c r="B179" i="65"/>
  <c r="C179" i="65"/>
  <c r="E179" i="65"/>
  <c r="J179" i="65"/>
  <c r="B180" i="65"/>
  <c r="C180" i="65"/>
  <c r="E180" i="65"/>
  <c r="J180" i="65"/>
  <c r="B191" i="65"/>
  <c r="C191" i="65"/>
  <c r="E191" i="65"/>
  <c r="J191" i="65"/>
  <c r="B192" i="65"/>
  <c r="C192" i="65"/>
  <c r="E192" i="65"/>
  <c r="J192" i="65"/>
  <c r="B193" i="65"/>
  <c r="C193" i="65"/>
  <c r="E193" i="65"/>
  <c r="J193" i="65"/>
  <c r="B194" i="65"/>
  <c r="C194" i="65"/>
  <c r="E194" i="65"/>
  <c r="J194" i="65"/>
  <c r="B195" i="65"/>
  <c r="C195" i="65"/>
  <c r="E195" i="65"/>
  <c r="J195" i="65"/>
  <c r="B196" i="65"/>
  <c r="C196" i="65"/>
  <c r="E196" i="65"/>
  <c r="J196" i="65"/>
  <c r="B197" i="65"/>
  <c r="C197" i="65"/>
  <c r="E197" i="65"/>
  <c r="J197" i="65"/>
  <c r="B198" i="65"/>
  <c r="C198" i="65"/>
  <c r="E198" i="65"/>
  <c r="J198" i="65"/>
  <c r="B199" i="65"/>
  <c r="C199" i="65"/>
  <c r="E199" i="65"/>
  <c r="J199" i="65"/>
  <c r="B200" i="65"/>
  <c r="C200" i="65"/>
  <c r="E200" i="65"/>
  <c r="J200" i="65"/>
  <c r="B201" i="65"/>
  <c r="C201" i="65"/>
  <c r="E201" i="65"/>
  <c r="J201" i="65"/>
  <c r="B202" i="65"/>
  <c r="C202" i="65"/>
  <c r="E202" i="65"/>
  <c r="J202" i="65"/>
  <c r="B203" i="65"/>
  <c r="C203" i="65"/>
  <c r="E203" i="65"/>
  <c r="J203" i="65"/>
  <c r="B204" i="65"/>
  <c r="C204" i="65"/>
  <c r="E204" i="65"/>
  <c r="J204" i="65"/>
  <c r="B205" i="65"/>
  <c r="C205" i="65"/>
  <c r="E205" i="65"/>
  <c r="J205" i="65"/>
  <c r="B206" i="65"/>
  <c r="C206" i="65"/>
  <c r="E206" i="65"/>
  <c r="J206" i="65"/>
  <c r="B207" i="65"/>
  <c r="C207" i="65"/>
  <c r="E207" i="65"/>
  <c r="J207" i="65"/>
  <c r="B208" i="65"/>
  <c r="C208" i="65"/>
  <c r="E208" i="65"/>
  <c r="J208" i="65"/>
  <c r="B209" i="65"/>
  <c r="C209" i="65"/>
  <c r="E209" i="65"/>
  <c r="J209" i="65"/>
  <c r="B210" i="65"/>
  <c r="C210" i="65"/>
  <c r="E210" i="65"/>
  <c r="J210" i="65"/>
  <c r="B211" i="65"/>
  <c r="C211" i="65"/>
  <c r="E211" i="65"/>
  <c r="J211" i="65"/>
  <c r="B212" i="65"/>
  <c r="C212" i="65"/>
  <c r="E212" i="65"/>
  <c r="J212" i="65"/>
  <c r="B213" i="65"/>
  <c r="C213" i="65"/>
  <c r="E213" i="65"/>
  <c r="J213" i="65"/>
  <c r="B214" i="65"/>
  <c r="C214" i="65"/>
  <c r="E214" i="65"/>
  <c r="J214" i="65"/>
  <c r="B215" i="65"/>
  <c r="C215" i="65"/>
  <c r="E215" i="65"/>
  <c r="J215" i="65"/>
  <c r="B216" i="65"/>
  <c r="C216" i="65"/>
  <c r="E216" i="65"/>
  <c r="J216" i="65"/>
  <c r="B217" i="65"/>
  <c r="C217" i="65"/>
  <c r="E217" i="65"/>
  <c r="J217" i="65"/>
  <c r="B218" i="65"/>
  <c r="C218" i="65"/>
  <c r="E218" i="65"/>
  <c r="J218" i="65"/>
  <c r="B219" i="65"/>
  <c r="C219" i="65"/>
  <c r="E219" i="65"/>
  <c r="J219" i="65"/>
  <c r="B220" i="65"/>
  <c r="C220" i="65"/>
  <c r="E220" i="65"/>
  <c r="J220" i="65"/>
  <c r="B221" i="65"/>
  <c r="C221" i="65"/>
  <c r="E221" i="65"/>
  <c r="J221" i="65"/>
  <c r="B222" i="65"/>
  <c r="C222" i="65"/>
  <c r="E222" i="65"/>
  <c r="J222" i="65"/>
  <c r="B223" i="65"/>
  <c r="C223" i="65"/>
  <c r="E223" i="65"/>
  <c r="J223" i="65"/>
  <c r="B224" i="65"/>
  <c r="C224" i="65"/>
  <c r="E224" i="65"/>
  <c r="J224" i="65"/>
  <c r="B225" i="65"/>
  <c r="C225" i="65"/>
  <c r="E225" i="65"/>
  <c r="J225" i="65"/>
  <c r="B226" i="65"/>
  <c r="C226" i="65"/>
  <c r="E226" i="65"/>
  <c r="J226" i="65"/>
  <c r="B227" i="65"/>
  <c r="C227" i="65"/>
  <c r="E227" i="65"/>
  <c r="J227" i="65"/>
  <c r="B228" i="65"/>
  <c r="C228" i="65"/>
  <c r="E228" i="65"/>
  <c r="J228" i="65"/>
  <c r="B229" i="65"/>
  <c r="C229" i="65"/>
  <c r="E229" i="65"/>
  <c r="J229" i="65"/>
  <c r="B230" i="65"/>
  <c r="C230" i="65"/>
  <c r="E230" i="65"/>
  <c r="J230" i="65"/>
  <c r="B231" i="65"/>
  <c r="C231" i="65"/>
  <c r="E231" i="65"/>
  <c r="J231" i="65"/>
  <c r="B232" i="65"/>
  <c r="C232" i="65"/>
  <c r="E232" i="65"/>
  <c r="J232" i="65"/>
  <c r="B233" i="65"/>
  <c r="C233" i="65"/>
  <c r="E233" i="65"/>
  <c r="J233" i="65"/>
  <c r="B234" i="65"/>
  <c r="C234" i="65"/>
  <c r="E234" i="65"/>
  <c r="J234" i="65"/>
  <c r="B235" i="65"/>
  <c r="C235" i="65"/>
  <c r="E235" i="65"/>
  <c r="J235" i="65"/>
  <c r="B236" i="65"/>
  <c r="C236" i="65"/>
  <c r="E236" i="65"/>
  <c r="J236" i="65"/>
  <c r="B237" i="65"/>
  <c r="C237" i="65"/>
  <c r="E237" i="65"/>
  <c r="J237" i="65"/>
  <c r="B238" i="65"/>
  <c r="C238" i="65"/>
  <c r="E238" i="65"/>
  <c r="J238" i="65"/>
  <c r="B239" i="65"/>
  <c r="C239" i="65"/>
  <c r="E239" i="65"/>
  <c r="J239" i="65"/>
  <c r="B240" i="65"/>
  <c r="C240" i="65"/>
  <c r="E240" i="65"/>
  <c r="J240" i="65"/>
  <c r="B251" i="65"/>
  <c r="C251" i="65"/>
  <c r="E251" i="65"/>
  <c r="J251" i="65"/>
  <c r="B252" i="65"/>
  <c r="C252" i="65"/>
  <c r="E252" i="65"/>
  <c r="J252" i="65"/>
  <c r="B253" i="65"/>
  <c r="C253" i="65"/>
  <c r="E253" i="65"/>
  <c r="J253" i="65"/>
  <c r="B254" i="65"/>
  <c r="C254" i="65"/>
  <c r="E254" i="65"/>
  <c r="J254" i="65"/>
  <c r="B255" i="65"/>
  <c r="C255" i="65"/>
  <c r="E255" i="65"/>
  <c r="J255" i="65"/>
  <c r="B256" i="65"/>
  <c r="C256" i="65"/>
  <c r="E256" i="65"/>
  <c r="J256" i="65"/>
  <c r="B257" i="65"/>
  <c r="C257" i="65"/>
  <c r="E257" i="65"/>
  <c r="J257" i="65"/>
  <c r="B258" i="65"/>
  <c r="C258" i="65"/>
  <c r="E258" i="65"/>
  <c r="J258" i="65"/>
  <c r="B259" i="65"/>
  <c r="C259" i="65"/>
  <c r="E259" i="65"/>
  <c r="J259" i="65"/>
  <c r="B260" i="65"/>
  <c r="C260" i="65"/>
  <c r="E260" i="65"/>
  <c r="J260" i="65"/>
  <c r="B261" i="65"/>
  <c r="C261" i="65"/>
  <c r="E261" i="65"/>
  <c r="J261" i="65"/>
  <c r="B262" i="65"/>
  <c r="C262" i="65"/>
  <c r="E262" i="65"/>
  <c r="J262" i="65"/>
  <c r="B263" i="65"/>
  <c r="C263" i="65"/>
  <c r="E263" i="65"/>
  <c r="J263" i="65"/>
  <c r="B264" i="65"/>
  <c r="C264" i="65"/>
  <c r="E264" i="65"/>
  <c r="J264" i="65"/>
  <c r="B265" i="65"/>
  <c r="C265" i="65"/>
  <c r="E265" i="65"/>
  <c r="J265" i="65"/>
  <c r="B266" i="65"/>
  <c r="C266" i="65"/>
  <c r="E266" i="65"/>
  <c r="J266" i="65"/>
  <c r="B267" i="65"/>
  <c r="C267" i="65"/>
  <c r="E267" i="65"/>
  <c r="J267" i="65"/>
  <c r="B268" i="65"/>
  <c r="C268" i="65"/>
  <c r="E268" i="65"/>
  <c r="J268" i="65"/>
  <c r="B269" i="65"/>
  <c r="C269" i="65"/>
  <c r="E269" i="65"/>
  <c r="J269" i="65"/>
  <c r="B270" i="65"/>
  <c r="C270" i="65"/>
  <c r="E270" i="65"/>
  <c r="J270" i="65"/>
  <c r="B271" i="65"/>
  <c r="C271" i="65"/>
  <c r="E271" i="65"/>
  <c r="J271" i="65"/>
  <c r="B272" i="65"/>
  <c r="C272" i="65"/>
  <c r="E272" i="65"/>
  <c r="J272" i="65"/>
  <c r="B273" i="65"/>
  <c r="C273" i="65"/>
  <c r="E273" i="65"/>
  <c r="J273" i="65"/>
  <c r="B274" i="65"/>
  <c r="C274" i="65"/>
  <c r="E274" i="65"/>
  <c r="J274" i="65"/>
  <c r="B275" i="65"/>
  <c r="C275" i="65"/>
  <c r="E275" i="65"/>
  <c r="J275" i="65"/>
  <c r="B276" i="65"/>
  <c r="C276" i="65"/>
  <c r="E276" i="65"/>
  <c r="J276" i="65"/>
  <c r="B277" i="65"/>
  <c r="C277" i="65"/>
  <c r="E277" i="65"/>
  <c r="J277" i="65"/>
  <c r="B278" i="65"/>
  <c r="C278" i="65"/>
  <c r="E278" i="65"/>
  <c r="J278" i="65"/>
  <c r="B279" i="65"/>
  <c r="C279" i="65"/>
  <c r="E279" i="65"/>
  <c r="J279" i="65"/>
  <c r="B280" i="65"/>
  <c r="C280" i="65"/>
  <c r="E280" i="65"/>
  <c r="J280" i="65"/>
  <c r="B281" i="65"/>
  <c r="C281" i="65"/>
  <c r="E281" i="65"/>
  <c r="J281" i="65"/>
  <c r="B282" i="65"/>
  <c r="C282" i="65"/>
  <c r="E282" i="65"/>
  <c r="J282" i="65"/>
  <c r="B283" i="65"/>
  <c r="C283" i="65"/>
  <c r="E283" i="65"/>
  <c r="J283" i="65"/>
  <c r="B284" i="65"/>
  <c r="C284" i="65"/>
  <c r="E284" i="65"/>
  <c r="J284" i="65"/>
  <c r="B285" i="65"/>
  <c r="C285" i="65"/>
  <c r="E285" i="65"/>
  <c r="J285" i="65"/>
  <c r="B286" i="65"/>
  <c r="C286" i="65"/>
  <c r="E286" i="65"/>
  <c r="J286" i="65"/>
  <c r="B287" i="65"/>
  <c r="C287" i="65"/>
  <c r="E287" i="65"/>
  <c r="J287" i="65"/>
  <c r="B288" i="65"/>
  <c r="C288" i="65"/>
  <c r="E288" i="65"/>
  <c r="J288" i="65"/>
  <c r="B289" i="65"/>
  <c r="C289" i="65"/>
  <c r="E289" i="65"/>
  <c r="J289" i="65"/>
  <c r="B290" i="65"/>
  <c r="C290" i="65"/>
  <c r="E290" i="65"/>
  <c r="J290" i="65"/>
  <c r="B291" i="65"/>
  <c r="C291" i="65"/>
  <c r="E291" i="65"/>
  <c r="J291" i="65"/>
  <c r="B292" i="65"/>
  <c r="C292" i="65"/>
  <c r="E292" i="65"/>
  <c r="J292" i="65"/>
  <c r="B293" i="65"/>
  <c r="C293" i="65"/>
  <c r="E293" i="65"/>
  <c r="J293" i="65"/>
  <c r="B294" i="65"/>
  <c r="C294" i="65"/>
  <c r="E294" i="65"/>
  <c r="J294" i="65"/>
  <c r="B295" i="65"/>
  <c r="C295" i="65"/>
  <c r="E295" i="65"/>
  <c r="J295" i="65"/>
  <c r="B311" i="65"/>
  <c r="C311" i="65"/>
  <c r="E311" i="65"/>
  <c r="J311" i="65"/>
  <c r="B312" i="65"/>
  <c r="C312" i="65"/>
  <c r="E312" i="65"/>
  <c r="J312" i="65"/>
  <c r="B313" i="65"/>
  <c r="C313" i="65"/>
  <c r="E313" i="65"/>
  <c r="J313" i="65"/>
  <c r="B314" i="65"/>
  <c r="C314" i="65"/>
  <c r="E314" i="65"/>
  <c r="J314" i="65"/>
  <c r="B315" i="65"/>
  <c r="C315" i="65"/>
  <c r="E315" i="65"/>
  <c r="J315" i="65"/>
  <c r="B316" i="65"/>
  <c r="C316" i="65"/>
  <c r="E316" i="65"/>
  <c r="J316" i="65"/>
  <c r="B317" i="65"/>
  <c r="C317" i="65"/>
  <c r="E317" i="65"/>
  <c r="J317" i="65"/>
  <c r="B318" i="65"/>
  <c r="C318" i="65"/>
  <c r="E318" i="65"/>
  <c r="J318" i="65"/>
  <c r="B319" i="65"/>
  <c r="C319" i="65"/>
  <c r="E319" i="65"/>
  <c r="J319" i="65"/>
  <c r="A416" i="65"/>
  <c r="A417" i="65" s="1"/>
  <c r="A418" i="65" s="1"/>
  <c r="A419" i="65" s="1"/>
  <c r="A420" i="65" s="1"/>
  <c r="A421" i="65" s="1"/>
  <c r="A422" i="65" s="1"/>
  <c r="A423" i="65" s="1"/>
  <c r="A424" i="65" s="1"/>
  <c r="A425" i="65" s="1"/>
  <c r="A513" i="65"/>
  <c r="A514" i="65" s="1"/>
  <c r="A515" i="65" s="1"/>
  <c r="A516" i="65" s="1"/>
  <c r="A517" i="65" s="1"/>
  <c r="A518" i="65" s="1"/>
  <c r="D513" i="65"/>
  <c r="D516" i="65" s="1"/>
  <c r="E513" i="65"/>
  <c r="E516" i="65" s="1"/>
  <c r="G513" i="65"/>
  <c r="G516" i="65" s="1"/>
  <c r="H513" i="65"/>
  <c r="H516" i="65" s="1"/>
  <c r="H576" i="65" s="1"/>
  <c r="E517" i="65"/>
  <c r="F517" i="65"/>
  <c r="E577" i="65"/>
  <c r="E647" i="65" s="1"/>
  <c r="F577" i="65"/>
  <c r="F647" i="65" s="1"/>
  <c r="D652" i="65"/>
  <c r="E652" i="65"/>
  <c r="F652" i="65"/>
  <c r="G652" i="65"/>
  <c r="H652" i="65"/>
  <c r="I652" i="65"/>
  <c r="J652" i="65"/>
  <c r="E653" i="65"/>
  <c r="F653" i="65"/>
  <c r="G653" i="65"/>
  <c r="H653" i="65"/>
  <c r="I653" i="65"/>
  <c r="J653" i="65"/>
  <c r="D654" i="65"/>
  <c r="E654" i="65"/>
  <c r="F654" i="65"/>
  <c r="G654" i="65"/>
  <c r="H654" i="65"/>
  <c r="I654" i="65"/>
  <c r="J654" i="65"/>
  <c r="D655" i="65"/>
  <c r="E655" i="65"/>
  <c r="F655" i="65"/>
  <c r="G655" i="65"/>
  <c r="H655" i="65"/>
  <c r="I655" i="65"/>
  <c r="J655" i="65"/>
  <c r="A659" i="65"/>
  <c r="A660" i="65" s="1"/>
  <c r="A661" i="65" s="1"/>
  <c r="A662" i="65" s="1"/>
  <c r="A663" i="65" s="1"/>
  <c r="A664" i="65" s="1"/>
  <c r="A665" i="65" s="1"/>
  <c r="A666" i="65" s="1"/>
  <c r="A667" i="65" s="1"/>
  <c r="A668" i="65" s="1"/>
  <c r="A669" i="65" s="1"/>
  <c r="A670" i="65" s="1"/>
  <c r="A671" i="65" s="1"/>
  <c r="A672" i="65" s="1"/>
  <c r="A673" i="65" s="1"/>
  <c r="A674" i="65" s="1"/>
  <c r="A675" i="65" s="1"/>
  <c r="A676" i="65" s="1"/>
  <c r="A677" i="65" s="1"/>
  <c r="A678" i="65" s="1"/>
  <c r="A679" i="65" s="1"/>
  <c r="A680" i="65" s="1"/>
  <c r="A682" i="65" s="1"/>
  <c r="A683" i="65" s="1"/>
  <c r="A684" i="65" s="1"/>
  <c r="A685" i="65" s="1"/>
  <c r="A686" i="65" s="1"/>
  <c r="A687" i="65" s="1"/>
  <c r="B11" i="31"/>
  <c r="C11" i="31"/>
  <c r="E11" i="31"/>
  <c r="J11" i="31"/>
  <c r="B12" i="31"/>
  <c r="C12" i="31"/>
  <c r="E12" i="31"/>
  <c r="J12" i="31"/>
  <c r="A13" i="3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70" i="31" s="1"/>
  <c r="A171" i="31" s="1"/>
  <c r="A172" i="31" s="1"/>
  <c r="A173" i="31" s="1"/>
  <c r="A174" i="31" s="1"/>
  <c r="A175" i="31" s="1"/>
  <c r="A176" i="31" s="1"/>
  <c r="A177" i="31" s="1"/>
  <c r="A178" i="31" s="1"/>
  <c r="A179" i="31" s="1"/>
  <c r="A180" i="31" s="1"/>
  <c r="A181" i="31" s="1"/>
  <c r="A182" i="31" s="1"/>
  <c r="A183" i="31" s="1"/>
  <c r="A184" i="31" s="1"/>
  <c r="A185" i="31" s="1"/>
  <c r="A186" i="31" s="1"/>
  <c r="A187" i="31" s="1"/>
  <c r="A188" i="31" s="1"/>
  <c r="A189" i="31" s="1"/>
  <c r="A190" i="31" s="1"/>
  <c r="A191" i="31" s="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A252" i="31" s="1"/>
  <c r="B13" i="31"/>
  <c r="C13" i="31"/>
  <c r="E13" i="31"/>
  <c r="J13" i="31"/>
  <c r="B14" i="31"/>
  <c r="C14" i="31"/>
  <c r="E14" i="31"/>
  <c r="J14" i="31"/>
  <c r="B15" i="31"/>
  <c r="C15" i="31"/>
  <c r="E15" i="31"/>
  <c r="J15" i="31"/>
  <c r="B16" i="31"/>
  <c r="C16" i="31"/>
  <c r="E16" i="31"/>
  <c r="J16" i="31"/>
  <c r="B17" i="31"/>
  <c r="C17" i="31"/>
  <c r="E17" i="31"/>
  <c r="J17" i="31"/>
  <c r="B18" i="31"/>
  <c r="C18" i="31"/>
  <c r="E18" i="31"/>
  <c r="J18" i="31"/>
  <c r="B19" i="31"/>
  <c r="C19" i="31"/>
  <c r="E19" i="31"/>
  <c r="J19" i="31"/>
  <c r="B20" i="31"/>
  <c r="C20" i="31"/>
  <c r="E20" i="31"/>
  <c r="J20" i="31"/>
  <c r="B21" i="31"/>
  <c r="C21" i="31"/>
  <c r="E21" i="31"/>
  <c r="J21" i="31"/>
  <c r="B22" i="31"/>
  <c r="C22" i="31"/>
  <c r="E22" i="31"/>
  <c r="J22" i="31"/>
  <c r="B23" i="31"/>
  <c r="C23" i="31"/>
  <c r="E23" i="31"/>
  <c r="J23" i="31"/>
  <c r="B24" i="31"/>
  <c r="C24" i="31"/>
  <c r="E24" i="31"/>
  <c r="J24" i="31"/>
  <c r="B25" i="31"/>
  <c r="C25" i="31"/>
  <c r="E25" i="31"/>
  <c r="J25" i="31"/>
  <c r="B26" i="31"/>
  <c r="C26" i="31"/>
  <c r="E26" i="31"/>
  <c r="J26" i="31"/>
  <c r="B27" i="31"/>
  <c r="C27" i="31"/>
  <c r="E27" i="31"/>
  <c r="J27" i="31"/>
  <c r="B28" i="31"/>
  <c r="C28" i="31"/>
  <c r="E28" i="31"/>
  <c r="J28" i="31"/>
  <c r="B29" i="31"/>
  <c r="C29" i="31"/>
  <c r="E29" i="31"/>
  <c r="J29" i="31"/>
  <c r="B30" i="31"/>
  <c r="C30" i="31"/>
  <c r="E30" i="31"/>
  <c r="J30" i="31"/>
  <c r="B31" i="31"/>
  <c r="C31" i="31"/>
  <c r="E31" i="31"/>
  <c r="J31" i="31"/>
  <c r="B32" i="31"/>
  <c r="C32" i="31"/>
  <c r="E32" i="31"/>
  <c r="J32" i="31"/>
  <c r="B33" i="31"/>
  <c r="C33" i="31"/>
  <c r="E33" i="31"/>
  <c r="J33" i="31"/>
  <c r="B34" i="31"/>
  <c r="C34" i="31"/>
  <c r="E34" i="31"/>
  <c r="J34" i="31"/>
  <c r="B35" i="31"/>
  <c r="C35" i="31"/>
  <c r="E35" i="31"/>
  <c r="J35" i="31"/>
  <c r="B36" i="31"/>
  <c r="C36" i="31"/>
  <c r="E36" i="31"/>
  <c r="J36" i="31"/>
  <c r="B37" i="31"/>
  <c r="C37" i="31"/>
  <c r="E37" i="31"/>
  <c r="J37" i="31"/>
  <c r="B38" i="31"/>
  <c r="C38" i="31"/>
  <c r="E38" i="31"/>
  <c r="J38" i="31"/>
  <c r="B39" i="31"/>
  <c r="C39" i="31"/>
  <c r="E39" i="31"/>
  <c r="J39" i="31"/>
  <c r="B40" i="31"/>
  <c r="C40" i="31"/>
  <c r="E40" i="31"/>
  <c r="J40" i="31"/>
  <c r="B41" i="31"/>
  <c r="C41" i="31"/>
  <c r="E41" i="31"/>
  <c r="J41" i="31"/>
  <c r="B42" i="31"/>
  <c r="C42" i="31"/>
  <c r="E42" i="31"/>
  <c r="J42" i="31"/>
  <c r="B43" i="31"/>
  <c r="C43" i="31"/>
  <c r="E43" i="31"/>
  <c r="J43" i="31"/>
  <c r="B44" i="31"/>
  <c r="C44" i="31"/>
  <c r="E44" i="31"/>
  <c r="J44" i="31"/>
  <c r="B45" i="31"/>
  <c r="C45" i="31"/>
  <c r="E45" i="31"/>
  <c r="J45" i="31"/>
  <c r="B46" i="31"/>
  <c r="C46" i="31"/>
  <c r="E46" i="31"/>
  <c r="J46" i="31"/>
  <c r="B47" i="31"/>
  <c r="C47" i="31"/>
  <c r="E47" i="31"/>
  <c r="J47" i="31"/>
  <c r="B48" i="31"/>
  <c r="C48" i="31"/>
  <c r="E48" i="31"/>
  <c r="J48" i="31"/>
  <c r="B49" i="31"/>
  <c r="C49" i="31"/>
  <c r="E49" i="31"/>
  <c r="J49" i="31"/>
  <c r="B50" i="31"/>
  <c r="C50" i="31"/>
  <c r="E50" i="31"/>
  <c r="J50" i="31"/>
  <c r="A51" i="31"/>
  <c r="A216" i="31" s="1"/>
  <c r="B61" i="31"/>
  <c r="C61" i="31"/>
  <c r="E61" i="31"/>
  <c r="J61" i="31"/>
  <c r="B62" i="31"/>
  <c r="C62" i="31"/>
  <c r="E62" i="31"/>
  <c r="J62" i="31"/>
  <c r="B63" i="31"/>
  <c r="C63" i="31"/>
  <c r="E63" i="31"/>
  <c r="J63" i="31"/>
  <c r="B64" i="31"/>
  <c r="C64" i="31"/>
  <c r="E64" i="31"/>
  <c r="J64" i="31"/>
  <c r="B65" i="31"/>
  <c r="C65" i="31"/>
  <c r="E65" i="31"/>
  <c r="J65" i="31"/>
  <c r="B66" i="31"/>
  <c r="C66" i="31"/>
  <c r="E66" i="31"/>
  <c r="J66" i="31"/>
  <c r="B67" i="31"/>
  <c r="C67" i="31"/>
  <c r="E67" i="31"/>
  <c r="J67" i="31"/>
  <c r="B68" i="31"/>
  <c r="C68" i="31"/>
  <c r="E68" i="31"/>
  <c r="J68" i="31"/>
  <c r="B69" i="31"/>
  <c r="C69" i="31"/>
  <c r="E69" i="31"/>
  <c r="J69" i="31"/>
  <c r="B70" i="31"/>
  <c r="C70" i="31"/>
  <c r="E70" i="31"/>
  <c r="J70" i="31"/>
  <c r="B71" i="31"/>
  <c r="C71" i="31"/>
  <c r="E71" i="31"/>
  <c r="J71" i="31"/>
  <c r="B72" i="31"/>
  <c r="C72" i="31"/>
  <c r="E72" i="31"/>
  <c r="J72" i="31"/>
  <c r="B73" i="31"/>
  <c r="C73" i="31"/>
  <c r="E73" i="31"/>
  <c r="J73" i="31"/>
  <c r="B74" i="31"/>
  <c r="C74" i="31"/>
  <c r="E74" i="31"/>
  <c r="J74" i="31"/>
  <c r="B75" i="31"/>
  <c r="C75" i="31"/>
  <c r="E75" i="31"/>
  <c r="J75" i="31"/>
  <c r="B76" i="31"/>
  <c r="C76" i="31"/>
  <c r="E76" i="31"/>
  <c r="J76" i="31"/>
  <c r="B77" i="31"/>
  <c r="C77" i="31"/>
  <c r="E77" i="31"/>
  <c r="J77" i="31"/>
  <c r="B78" i="31"/>
  <c r="C78" i="31"/>
  <c r="E78" i="31"/>
  <c r="J78" i="31"/>
  <c r="B79" i="31"/>
  <c r="C79" i="31"/>
  <c r="E79" i="31"/>
  <c r="J79" i="31"/>
  <c r="B80" i="31"/>
  <c r="C80" i="31"/>
  <c r="E80" i="31"/>
  <c r="J80" i="31"/>
  <c r="B81" i="31"/>
  <c r="C81" i="31"/>
  <c r="E81" i="31"/>
  <c r="J81" i="31"/>
  <c r="B82" i="31"/>
  <c r="C82" i="31"/>
  <c r="E82" i="31"/>
  <c r="J82" i="31"/>
  <c r="B83" i="31"/>
  <c r="C83" i="31"/>
  <c r="E83" i="31"/>
  <c r="J83" i="31"/>
  <c r="B84" i="31"/>
  <c r="C84" i="31"/>
  <c r="E84" i="31"/>
  <c r="J84" i="31"/>
  <c r="B85" i="31"/>
  <c r="C85" i="31"/>
  <c r="E85" i="31"/>
  <c r="J85" i="31"/>
  <c r="B86" i="31"/>
  <c r="C86" i="31"/>
  <c r="E86" i="31"/>
  <c r="J86" i="31"/>
  <c r="B87" i="31"/>
  <c r="C87" i="31"/>
  <c r="E87" i="31"/>
  <c r="J87" i="31"/>
  <c r="B88" i="31"/>
  <c r="C88" i="31"/>
  <c r="E88" i="31"/>
  <c r="J88" i="31"/>
  <c r="B89" i="31"/>
  <c r="C89" i="31"/>
  <c r="E89" i="31"/>
  <c r="J89" i="31"/>
  <c r="B90" i="31"/>
  <c r="C90" i="31"/>
  <c r="E90" i="31"/>
  <c r="J90" i="31"/>
  <c r="B91" i="31"/>
  <c r="C91" i="31"/>
  <c r="E91" i="31"/>
  <c r="J91" i="31"/>
  <c r="B92" i="31"/>
  <c r="C92" i="31"/>
  <c r="E92" i="31"/>
  <c r="J92" i="31"/>
  <c r="B93" i="31"/>
  <c r="C93" i="31"/>
  <c r="E93" i="31"/>
  <c r="J93" i="31"/>
  <c r="B94" i="31"/>
  <c r="C94" i="31"/>
  <c r="E94" i="31"/>
  <c r="J94" i="31"/>
  <c r="B95" i="31"/>
  <c r="C95" i="31"/>
  <c r="E95" i="31"/>
  <c r="J95" i="31"/>
  <c r="B96" i="31"/>
  <c r="C96" i="31"/>
  <c r="E96" i="31"/>
  <c r="J96" i="31"/>
  <c r="B97" i="31"/>
  <c r="C97" i="31"/>
  <c r="E97" i="31"/>
  <c r="J97" i="31"/>
  <c r="B98" i="31"/>
  <c r="C98" i="31"/>
  <c r="E98" i="31"/>
  <c r="J98" i="31"/>
  <c r="B99" i="31"/>
  <c r="C99" i="31"/>
  <c r="E99" i="31"/>
  <c r="J99" i="31"/>
  <c r="B100" i="31"/>
  <c r="C100" i="31"/>
  <c r="E100" i="31"/>
  <c r="J100" i="31"/>
  <c r="B111" i="31"/>
  <c r="C111" i="31"/>
  <c r="E111" i="31"/>
  <c r="J111" i="31"/>
  <c r="B112" i="31"/>
  <c r="C112" i="31"/>
  <c r="E112" i="31"/>
  <c r="J112" i="31"/>
  <c r="B113" i="31"/>
  <c r="C113" i="31"/>
  <c r="E113" i="31"/>
  <c r="J113" i="31"/>
  <c r="B114" i="31"/>
  <c r="C114" i="31"/>
  <c r="E114" i="31"/>
  <c r="J114" i="31"/>
  <c r="B115" i="31"/>
  <c r="C115" i="31"/>
  <c r="E115" i="31"/>
  <c r="J115" i="31"/>
  <c r="B116" i="31"/>
  <c r="C116" i="31"/>
  <c r="E116" i="31"/>
  <c r="J116" i="31"/>
  <c r="B117" i="31"/>
  <c r="C117" i="31"/>
  <c r="E117" i="31"/>
  <c r="J117" i="31"/>
  <c r="B118" i="31"/>
  <c r="C118" i="31"/>
  <c r="E118" i="31"/>
  <c r="J118" i="31"/>
  <c r="B119" i="31"/>
  <c r="C119" i="31"/>
  <c r="E119" i="31"/>
  <c r="J119" i="31"/>
  <c r="B120" i="31"/>
  <c r="C120" i="31"/>
  <c r="E120" i="31"/>
  <c r="J120" i="31"/>
  <c r="B121" i="31"/>
  <c r="C121" i="31"/>
  <c r="E121" i="31"/>
  <c r="J121" i="31"/>
  <c r="B122" i="31"/>
  <c r="C122" i="31"/>
  <c r="E122" i="31"/>
  <c r="J122" i="31"/>
  <c r="B123" i="31"/>
  <c r="C123" i="31"/>
  <c r="E123" i="31"/>
  <c r="J123" i="31"/>
  <c r="B124" i="31"/>
  <c r="C124" i="31"/>
  <c r="E124" i="31"/>
  <c r="J124" i="31"/>
  <c r="B125" i="31"/>
  <c r="C125" i="31"/>
  <c r="E125" i="31"/>
  <c r="J125" i="31"/>
  <c r="B126" i="31"/>
  <c r="C126" i="31"/>
  <c r="E126" i="31"/>
  <c r="J126" i="31"/>
  <c r="B127" i="31"/>
  <c r="C127" i="31"/>
  <c r="E127" i="31"/>
  <c r="J127" i="31"/>
  <c r="B128" i="31"/>
  <c r="C128" i="31"/>
  <c r="E128" i="31"/>
  <c r="J128" i="31"/>
  <c r="B129" i="31"/>
  <c r="C129" i="31"/>
  <c r="E129" i="31"/>
  <c r="J129" i="31"/>
  <c r="B130" i="31"/>
  <c r="C130" i="31"/>
  <c r="E130" i="31"/>
  <c r="J130" i="31"/>
  <c r="B131" i="31"/>
  <c r="C131" i="31"/>
  <c r="E131" i="31"/>
  <c r="J131" i="31"/>
  <c r="B132" i="31"/>
  <c r="C132" i="31"/>
  <c r="E132" i="31"/>
  <c r="J132" i="31"/>
  <c r="B133" i="31"/>
  <c r="C133" i="31"/>
  <c r="E133" i="31"/>
  <c r="J133" i="31"/>
  <c r="B134" i="31"/>
  <c r="C134" i="31"/>
  <c r="E134" i="31"/>
  <c r="J134" i="31"/>
  <c r="B135" i="31"/>
  <c r="C135" i="31"/>
  <c r="E135" i="31"/>
  <c r="J135" i="31"/>
  <c r="B136" i="31"/>
  <c r="C136" i="31"/>
  <c r="E136" i="31"/>
  <c r="J136" i="31"/>
  <c r="B137" i="31"/>
  <c r="C137" i="31"/>
  <c r="E137" i="31"/>
  <c r="J137" i="31"/>
  <c r="B138" i="31"/>
  <c r="C138" i="31"/>
  <c r="E138" i="31"/>
  <c r="J138" i="31"/>
  <c r="B139" i="31"/>
  <c r="C139" i="31"/>
  <c r="E139" i="31"/>
  <c r="J139" i="31"/>
  <c r="B140" i="31"/>
  <c r="C140" i="31"/>
  <c r="E140" i="31"/>
  <c r="J140" i="31"/>
  <c r="B141" i="31"/>
  <c r="C141" i="31"/>
  <c r="E141" i="31"/>
  <c r="J141" i="31"/>
  <c r="B142" i="31"/>
  <c r="C142" i="31"/>
  <c r="E142" i="31"/>
  <c r="J142" i="31"/>
  <c r="B143" i="31"/>
  <c r="C143" i="31"/>
  <c r="E143" i="31"/>
  <c r="J143" i="31"/>
  <c r="B144" i="31"/>
  <c r="C144" i="31"/>
  <c r="E144" i="31"/>
  <c r="J144" i="31"/>
  <c r="B145" i="31"/>
  <c r="C145" i="31"/>
  <c r="E145" i="31"/>
  <c r="J145" i="31"/>
  <c r="B146" i="31"/>
  <c r="C146" i="31"/>
  <c r="E146" i="31"/>
  <c r="J146" i="31"/>
  <c r="B147" i="31"/>
  <c r="C147" i="31"/>
  <c r="E147" i="31"/>
  <c r="J147" i="31"/>
  <c r="B148" i="31"/>
  <c r="C148" i="31"/>
  <c r="E148" i="31"/>
  <c r="J148" i="31"/>
  <c r="B149" i="31"/>
  <c r="C149" i="31"/>
  <c r="E149" i="31"/>
  <c r="J149" i="31"/>
  <c r="B150" i="31"/>
  <c r="C150" i="31"/>
  <c r="E150" i="31"/>
  <c r="J150" i="31"/>
  <c r="B151" i="31"/>
  <c r="C151" i="31"/>
  <c r="E151" i="31"/>
  <c r="J151" i="31"/>
  <c r="B152" i="31"/>
  <c r="C152" i="31"/>
  <c r="E152" i="31"/>
  <c r="J152" i="31"/>
  <c r="B153" i="31"/>
  <c r="C153" i="31"/>
  <c r="E153" i="31"/>
  <c r="J153" i="31"/>
  <c r="B154" i="31"/>
  <c r="C154" i="31"/>
  <c r="E154" i="31"/>
  <c r="J154" i="31"/>
  <c r="B155" i="31"/>
  <c r="C155" i="31"/>
  <c r="E155" i="31"/>
  <c r="J155" i="31"/>
  <c r="B156" i="31"/>
  <c r="C156" i="31"/>
  <c r="E156" i="31"/>
  <c r="J156" i="31"/>
  <c r="B157" i="31"/>
  <c r="C157" i="31"/>
  <c r="E157" i="31"/>
  <c r="J157" i="31"/>
  <c r="B158" i="31"/>
  <c r="C158" i="31"/>
  <c r="E158" i="31"/>
  <c r="J158" i="31"/>
  <c r="B159" i="31"/>
  <c r="C159" i="31"/>
  <c r="E159" i="31"/>
  <c r="J159" i="31"/>
  <c r="B170" i="31"/>
  <c r="C170" i="31"/>
  <c r="E170" i="31"/>
  <c r="J170" i="31"/>
  <c r="B171" i="31"/>
  <c r="C171" i="31"/>
  <c r="E171" i="31"/>
  <c r="J171" i="31"/>
  <c r="B172" i="31"/>
  <c r="C172" i="31"/>
  <c r="E172" i="31"/>
  <c r="J172" i="31"/>
  <c r="B173" i="31"/>
  <c r="C173" i="31"/>
  <c r="E173" i="31"/>
  <c r="J173" i="31"/>
  <c r="B174" i="31"/>
  <c r="C174" i="31"/>
  <c r="E174" i="31"/>
  <c r="J174" i="31"/>
  <c r="B175" i="31"/>
  <c r="C175" i="31"/>
  <c r="E175" i="31"/>
  <c r="J175" i="31"/>
  <c r="B176" i="31"/>
  <c r="C176" i="31"/>
  <c r="E176" i="31"/>
  <c r="J176" i="31"/>
  <c r="B177" i="31"/>
  <c r="C177" i="31"/>
  <c r="E177" i="31"/>
  <c r="J177" i="31"/>
  <c r="B178" i="31"/>
  <c r="C178" i="31"/>
  <c r="E178" i="31"/>
  <c r="J178" i="31"/>
  <c r="B179" i="31"/>
  <c r="C179" i="31"/>
  <c r="E179" i="31"/>
  <c r="J179" i="31"/>
  <c r="B180" i="31"/>
  <c r="C180" i="31"/>
  <c r="E180" i="31"/>
  <c r="J180" i="31"/>
  <c r="B181" i="31"/>
  <c r="C181" i="31"/>
  <c r="E181" i="31"/>
  <c r="J181" i="31"/>
  <c r="B182" i="31"/>
  <c r="C182" i="31"/>
  <c r="E182" i="31"/>
  <c r="J182" i="31"/>
  <c r="B183" i="31"/>
  <c r="C183" i="31"/>
  <c r="E183" i="31"/>
  <c r="J183" i="31"/>
  <c r="B184" i="31"/>
  <c r="C184" i="31"/>
  <c r="E184" i="31"/>
  <c r="J184" i="31"/>
  <c r="B185" i="31"/>
  <c r="C185" i="31"/>
  <c r="E185" i="31"/>
  <c r="J185" i="31"/>
  <c r="B186" i="31"/>
  <c r="C186" i="31"/>
  <c r="E186" i="31"/>
  <c r="J186" i="31"/>
  <c r="B187" i="31"/>
  <c r="C187" i="31"/>
  <c r="E187" i="31"/>
  <c r="J187" i="31"/>
  <c r="B188" i="31"/>
  <c r="C188" i="31"/>
  <c r="E188" i="31"/>
  <c r="J188" i="31"/>
  <c r="B189" i="31"/>
  <c r="C189" i="31"/>
  <c r="E189" i="31"/>
  <c r="J189" i="31"/>
  <c r="B190" i="31"/>
  <c r="C190" i="31"/>
  <c r="E190" i="31"/>
  <c r="J190" i="31"/>
  <c r="B191" i="31"/>
  <c r="C191" i="31"/>
  <c r="E191" i="31"/>
  <c r="J191" i="31"/>
  <c r="B192" i="31"/>
  <c r="C192" i="31"/>
  <c r="E192" i="31"/>
  <c r="J192" i="31"/>
  <c r="B193" i="31"/>
  <c r="C193" i="31"/>
  <c r="E193" i="31"/>
  <c r="J193" i="31"/>
  <c r="B194" i="31"/>
  <c r="C194" i="31"/>
  <c r="E194" i="31"/>
  <c r="J194" i="31"/>
  <c r="B195" i="31"/>
  <c r="C195" i="31"/>
  <c r="E195" i="31"/>
  <c r="J195" i="31"/>
  <c r="B196" i="31"/>
  <c r="C196" i="31"/>
  <c r="E196" i="31"/>
  <c r="J196" i="31"/>
  <c r="B197" i="31"/>
  <c r="C197" i="31"/>
  <c r="E197" i="31"/>
  <c r="J197" i="31"/>
  <c r="B198" i="31"/>
  <c r="C198" i="31"/>
  <c r="E198" i="31"/>
  <c r="J198" i="31"/>
  <c r="B199" i="31"/>
  <c r="C199" i="31"/>
  <c r="E199" i="31"/>
  <c r="J199" i="31"/>
  <c r="E367" i="31"/>
  <c r="E447" i="31" s="1"/>
  <c r="E497" i="31" s="1"/>
  <c r="F367" i="31"/>
  <c r="F447" i="31" s="1"/>
  <c r="F497" i="31" s="1"/>
  <c r="I367" i="31"/>
  <c r="I447" i="31" s="1"/>
  <c r="I497" i="31" s="1"/>
  <c r="J367" i="31"/>
  <c r="J447" i="31" s="1"/>
  <c r="J497" i="31" s="1"/>
  <c r="D368" i="31"/>
  <c r="D448" i="31" s="1"/>
  <c r="E368" i="31"/>
  <c r="E448" i="31" s="1"/>
  <c r="E498" i="31" s="1"/>
  <c r="F368" i="31"/>
  <c r="F448" i="31" s="1"/>
  <c r="F498" i="31" s="1"/>
  <c r="G368" i="31"/>
  <c r="G448" i="31" s="1"/>
  <c r="G498" i="31" s="1"/>
  <c r="H368" i="31"/>
  <c r="H448" i="31" s="1"/>
  <c r="H498" i="31" s="1"/>
  <c r="I368" i="31"/>
  <c r="I448" i="31" s="1"/>
  <c r="I498" i="31" s="1"/>
  <c r="J368" i="31"/>
  <c r="J448" i="31" s="1"/>
  <c r="J498" i="31" s="1"/>
  <c r="D369" i="31"/>
  <c r="D449" i="31" s="1"/>
  <c r="D499" i="31" s="1"/>
  <c r="E369" i="31"/>
  <c r="E449" i="31" s="1"/>
  <c r="E499" i="31" s="1"/>
  <c r="F369" i="31"/>
  <c r="F449" i="31" s="1"/>
  <c r="F499" i="31" s="1"/>
  <c r="G369" i="31"/>
  <c r="G449" i="31" s="1"/>
  <c r="G499" i="31" s="1"/>
  <c r="G515" i="31" s="1"/>
  <c r="G518" i="31" s="1"/>
  <c r="H369" i="31"/>
  <c r="H449" i="31" s="1"/>
  <c r="H499" i="31" s="1"/>
  <c r="I369" i="31"/>
  <c r="I449" i="31" s="1"/>
  <c r="I499" i="31" s="1"/>
  <c r="J369" i="31"/>
  <c r="J449" i="31" s="1"/>
  <c r="J499" i="31" s="1"/>
  <c r="A374" i="31"/>
  <c r="A375" i="31" s="1"/>
  <c r="A376" i="31" s="1"/>
  <c r="A377" i="31" s="1"/>
  <c r="A378" i="31" s="1"/>
  <c r="A379" i="31" s="1"/>
  <c r="D377" i="31"/>
  <c r="E377" i="31"/>
  <c r="G377" i="31"/>
  <c r="H377" i="31"/>
  <c r="E378" i="31"/>
  <c r="F378" i="31"/>
  <c r="H440" i="31"/>
  <c r="E441" i="31"/>
  <c r="F441" i="31"/>
  <c r="A493" i="31"/>
  <c r="A531" i="31"/>
  <c r="A532" i="31" s="1"/>
  <c r="A533" i="31" s="1"/>
  <c r="A534" i="31" s="1"/>
  <c r="A535" i="31" s="1"/>
  <c r="A536" i="31" s="1"/>
  <c r="A537" i="31" s="1"/>
  <c r="A538" i="31" s="1"/>
  <c r="A539" i="31" s="1"/>
  <c r="A540" i="31" s="1"/>
  <c r="A541" i="31" s="1"/>
  <c r="A542" i="31" s="1"/>
  <c r="A543" i="31" s="1"/>
  <c r="A544" i="31" s="1"/>
  <c r="A545" i="31" s="1"/>
  <c r="A546" i="31" s="1"/>
  <c r="A547" i="31" s="1"/>
  <c r="A548" i="31" s="1"/>
  <c r="A549" i="31" s="1"/>
  <c r="A550" i="31" s="1"/>
  <c r="A551" i="31" s="1"/>
  <c r="A552" i="31" s="1"/>
  <c r="A553" i="31" s="1"/>
  <c r="A555" i="31" s="1"/>
  <c r="A556" i="31" s="1"/>
  <c r="A557" i="31" s="1"/>
  <c r="A558" i="31" s="1"/>
  <c r="A559" i="31" s="1"/>
  <c r="A560" i="31" s="1"/>
  <c r="D555" i="31"/>
  <c r="D558" i="31" s="1"/>
  <c r="F555" i="31"/>
  <c r="F558" i="31" s="1"/>
  <c r="F560" i="31" s="1"/>
  <c r="E14" i="21"/>
  <c r="F14" i="21"/>
  <c r="E15" i="21"/>
  <c r="F15" i="21"/>
  <c r="E16" i="21"/>
  <c r="G16" i="21" s="1"/>
  <c r="F16" i="21"/>
  <c r="E17" i="21"/>
  <c r="F17" i="21"/>
  <c r="E22" i="21"/>
  <c r="E28" i="21" s="1"/>
  <c r="F22" i="21"/>
  <c r="F28" i="21" s="1"/>
  <c r="E23" i="21"/>
  <c r="F23" i="21"/>
  <c r="E27" i="21"/>
  <c r="G27" i="21" s="1"/>
  <c r="E29" i="21"/>
  <c r="F29" i="21"/>
  <c r="E19" i="84"/>
  <c r="D25" i="84"/>
  <c r="E25" i="84"/>
  <c r="A2" i="18"/>
  <c r="A58" i="18" s="1"/>
  <c r="F8" i="18"/>
  <c r="D19" i="18"/>
  <c r="G19" i="18" s="1"/>
  <c r="E19" i="18"/>
  <c r="D20" i="18"/>
  <c r="E20" i="18"/>
  <c r="D21" i="18"/>
  <c r="E21" i="18"/>
  <c r="D22" i="18"/>
  <c r="E22" i="18"/>
  <c r="D23" i="18"/>
  <c r="E23" i="18"/>
  <c r="D24" i="18"/>
  <c r="E24" i="18"/>
  <c r="D25" i="18"/>
  <c r="E25" i="18"/>
  <c r="D26" i="18"/>
  <c r="E26" i="18"/>
  <c r="D27" i="18"/>
  <c r="E27" i="18"/>
  <c r="D28" i="18"/>
  <c r="E28" i="18"/>
  <c r="D29" i="18"/>
  <c r="E29" i="18"/>
  <c r="D30" i="18"/>
  <c r="G30" i="18" s="1"/>
  <c r="E30" i="18"/>
  <c r="D31" i="18"/>
  <c r="E31" i="18"/>
  <c r="E29" i="84" s="1"/>
  <c r="G32" i="18"/>
  <c r="E33" i="18"/>
  <c r="G33" i="18" s="1"/>
  <c r="D39" i="18"/>
  <c r="E39" i="18"/>
  <c r="D40" i="18"/>
  <c r="E40" i="18"/>
  <c r="D44" i="18"/>
  <c r="E44" i="18"/>
  <c r="D45" i="18"/>
  <c r="D23" i="84" s="1"/>
  <c r="E45" i="18"/>
  <c r="D46" i="18"/>
  <c r="D24" i="84" s="1"/>
  <c r="E46" i="18"/>
  <c r="E24" i="84" s="1"/>
  <c r="A57" i="18"/>
  <c r="G62" i="18"/>
  <c r="D64" i="18"/>
  <c r="E64" i="18"/>
  <c r="D65" i="18"/>
  <c r="E65" i="18"/>
  <c r="D72" i="18"/>
  <c r="E72" i="18"/>
  <c r="D73" i="18"/>
  <c r="E73" i="18"/>
  <c r="D74" i="18"/>
  <c r="E74" i="18"/>
  <c r="D80" i="18"/>
  <c r="E80" i="18"/>
  <c r="D81" i="18"/>
  <c r="E81" i="18"/>
  <c r="D82" i="18"/>
  <c r="E82" i="18"/>
  <c r="D83" i="18"/>
  <c r="E83" i="18"/>
  <c r="D84" i="18"/>
  <c r="E84" i="18"/>
  <c r="D85" i="18"/>
  <c r="E85" i="18"/>
  <c r="D93" i="18"/>
  <c r="C101" i="18" s="1"/>
  <c r="A2" i="12"/>
  <c r="A44" i="12" s="1"/>
  <c r="D13" i="12"/>
  <c r="E13" i="12"/>
  <c r="D15" i="12"/>
  <c r="E15" i="12"/>
  <c r="D16" i="12"/>
  <c r="E16" i="12"/>
  <c r="D17" i="12"/>
  <c r="E17" i="12"/>
  <c r="D18" i="12"/>
  <c r="E18" i="12"/>
  <c r="D19" i="12"/>
  <c r="E19" i="12"/>
  <c r="D20" i="12"/>
  <c r="E20" i="12"/>
  <c r="D21" i="12"/>
  <c r="E21" i="12"/>
  <c r="D25" i="12"/>
  <c r="E25" i="12"/>
  <c r="G26" i="12"/>
  <c r="D27" i="12"/>
  <c r="E27" i="12"/>
  <c r="A43" i="12"/>
  <c r="C65" i="12"/>
  <c r="D65" i="12"/>
  <c r="C66" i="12"/>
  <c r="D66" i="12"/>
  <c r="C67" i="12"/>
  <c r="D67" i="12"/>
  <c r="C68" i="12"/>
  <c r="D68" i="12"/>
  <c r="C71" i="12"/>
  <c r="E71" i="12" s="1"/>
  <c r="D71" i="12"/>
  <c r="C72" i="12"/>
  <c r="D72" i="12"/>
  <c r="C73" i="12"/>
  <c r="D73" i="12"/>
  <c r="C74" i="12"/>
  <c r="D74" i="12"/>
  <c r="A2" i="23"/>
  <c r="A2" i="30" s="1"/>
  <c r="A1" i="61"/>
  <c r="A2" i="61"/>
  <c r="A1" i="59"/>
  <c r="A2" i="59"/>
  <c r="A1" i="60"/>
  <c r="A2" i="60"/>
  <c r="A2" i="83"/>
  <c r="D158" i="83"/>
  <c r="G158" i="83"/>
  <c r="A2" i="82"/>
  <c r="D158" i="82"/>
  <c r="A2" i="56"/>
  <c r="A9" i="56"/>
  <c r="A10" i="56"/>
  <c r="A11" i="56"/>
  <c r="A12" i="56" s="1"/>
  <c r="A13" i="56" s="1"/>
  <c r="A14" i="56" s="1"/>
  <c r="A15" i="56" s="1"/>
  <c r="A16" i="56" s="1"/>
  <c r="A17" i="56" s="1"/>
  <c r="A18" i="56" s="1"/>
  <c r="A19" i="56" s="1"/>
  <c r="A21" i="56" s="1"/>
  <c r="A22" i="56" s="1"/>
  <c r="A23" i="56" s="1"/>
  <c r="A24" i="56" s="1"/>
  <c r="A26" i="56" s="1"/>
  <c r="A27" i="56" s="1"/>
  <c r="A28" i="56" s="1"/>
  <c r="A29" i="56"/>
  <c r="A30" i="56" s="1"/>
  <c r="A31" i="56" s="1"/>
  <c r="A32" i="56" s="1"/>
  <c r="A33" i="56" s="1"/>
  <c r="A34" i="56" s="1"/>
  <c r="A35" i="56" s="1"/>
  <c r="A36" i="56" s="1"/>
  <c r="A37" i="56" s="1"/>
  <c r="A38" i="56" s="1"/>
  <c r="A39" i="56" s="1"/>
  <c r="A40" i="56" s="1"/>
  <c r="A41" i="56" s="1"/>
  <c r="A42" i="56" s="1"/>
  <c r="A43" i="56" s="1"/>
  <c r="A44" i="56" s="1"/>
  <c r="A45" i="56" s="1"/>
  <c r="A46" i="56" s="1"/>
  <c r="D20" i="53"/>
  <c r="P28" i="49"/>
  <c r="P32" i="49"/>
  <c r="P11" i="47" s="1"/>
  <c r="P521" i="86"/>
  <c r="P495" i="86"/>
  <c r="P464" i="86"/>
  <c r="P552" i="86"/>
  <c r="P525" i="86"/>
  <c r="P522" i="86"/>
  <c r="F589" i="86"/>
  <c r="G589" i="86" s="1"/>
  <c r="H589" i="86" s="1"/>
  <c r="I589" i="86" s="1"/>
  <c r="J589" i="86" s="1"/>
  <c r="K589" i="86" s="1"/>
  <c r="L589" i="86" s="1"/>
  <c r="M589" i="86" s="1"/>
  <c r="N589" i="86" s="1"/>
  <c r="O589" i="86" s="1"/>
  <c r="P589" i="86" s="1"/>
  <c r="E588" i="86"/>
  <c r="F588" i="86" s="1"/>
  <c r="G588" i="86" s="1"/>
  <c r="H588" i="86"/>
  <c r="I588" i="86" s="1"/>
  <c r="J588" i="86" s="1"/>
  <c r="K588" i="86" s="1"/>
  <c r="L588" i="86" s="1"/>
  <c r="M588" i="86" s="1"/>
  <c r="N588" i="86" s="1"/>
  <c r="O588" i="86" s="1"/>
  <c r="P588" i="86" s="1"/>
  <c r="P553" i="86"/>
  <c r="E561" i="86"/>
  <c r="F561" i="86" s="1"/>
  <c r="G561" i="86" s="1"/>
  <c r="H561" i="86"/>
  <c r="I561" i="86" s="1"/>
  <c r="J561" i="86" s="1"/>
  <c r="K561" i="86" s="1"/>
  <c r="L561" i="86"/>
  <c r="M561" i="86" s="1"/>
  <c r="N561" i="86" s="1"/>
  <c r="O561" i="86" s="1"/>
  <c r="P561" i="86" s="1"/>
  <c r="P491" i="86"/>
  <c r="P460" i="86"/>
  <c r="P494" i="86"/>
  <c r="P466" i="86"/>
  <c r="P463" i="86"/>
  <c r="P580" i="86"/>
  <c r="P555" i="86"/>
  <c r="P551" i="86"/>
  <c r="P492" i="86"/>
  <c r="P581" i="86"/>
  <c r="P577" i="86"/>
  <c r="F534" i="86"/>
  <c r="G534" i="86"/>
  <c r="H534" i="86"/>
  <c r="I534" i="86" s="1"/>
  <c r="J534" i="86" s="1"/>
  <c r="K534" i="86"/>
  <c r="L534" i="86"/>
  <c r="M534" i="86" s="1"/>
  <c r="N534" i="86" s="1"/>
  <c r="O534" i="86" s="1"/>
  <c r="P534" i="86" s="1"/>
  <c r="P520" i="86"/>
  <c r="H532" i="86"/>
  <c r="I532" i="86"/>
  <c r="J532" i="86" s="1"/>
  <c r="K532" i="86" s="1"/>
  <c r="L532" i="86" s="1"/>
  <c r="M532" i="86" s="1"/>
  <c r="N532" i="86" s="1"/>
  <c r="O532" i="86" s="1"/>
  <c r="P532" i="86" s="1"/>
  <c r="F503" i="86"/>
  <c r="G503" i="86"/>
  <c r="H503" i="86" s="1"/>
  <c r="I503" i="86" s="1"/>
  <c r="J503" i="86" s="1"/>
  <c r="K503" i="86" s="1"/>
  <c r="L503" i="86" s="1"/>
  <c r="M503" i="86" s="1"/>
  <c r="N503" i="86"/>
  <c r="O503" i="86" s="1"/>
  <c r="P503" i="86" s="1"/>
  <c r="P496" i="86"/>
  <c r="G470" i="86"/>
  <c r="H470" i="86"/>
  <c r="I470" i="86" s="1"/>
  <c r="J470" i="86" s="1"/>
  <c r="K470" i="86"/>
  <c r="L470" i="86"/>
  <c r="M470" i="86" s="1"/>
  <c r="N470" i="86" s="1"/>
  <c r="O470" i="86" s="1"/>
  <c r="P470" i="86" s="1"/>
  <c r="P465" i="86"/>
  <c r="D504" i="86"/>
  <c r="E504" i="86"/>
  <c r="F504" i="86" s="1"/>
  <c r="G504" i="86" s="1"/>
  <c r="H504" i="86" s="1"/>
  <c r="I504" i="86" s="1"/>
  <c r="J504" i="86" s="1"/>
  <c r="K504" i="86" s="1"/>
  <c r="L504" i="86" s="1"/>
  <c r="M504" i="86" s="1"/>
  <c r="N504" i="86" s="1"/>
  <c r="O504" i="86" s="1"/>
  <c r="P504" i="86" s="1"/>
  <c r="P400" i="86"/>
  <c r="P198" i="86"/>
  <c r="D474" i="86"/>
  <c r="E474" i="86"/>
  <c r="F474" i="86"/>
  <c r="G474" i="86" s="1"/>
  <c r="H474" i="86" s="1"/>
  <c r="I474" i="86" s="1"/>
  <c r="J474" i="86" s="1"/>
  <c r="K474" i="86" s="1"/>
  <c r="L474" i="86" s="1"/>
  <c r="M474" i="86" s="1"/>
  <c r="N474" i="86" s="1"/>
  <c r="O474" i="86" s="1"/>
  <c r="P474" i="86" s="1"/>
  <c r="P279" i="86"/>
  <c r="E208" i="86"/>
  <c r="F208" i="86"/>
  <c r="G208" i="86" s="1"/>
  <c r="H208" i="86" s="1"/>
  <c r="I208" i="86" s="1"/>
  <c r="J208" i="86" s="1"/>
  <c r="K208" i="86" s="1"/>
  <c r="L208" i="86" s="1"/>
  <c r="M208" i="86" s="1"/>
  <c r="N208" i="86" s="1"/>
  <c r="O208" i="86" s="1"/>
  <c r="P208" i="86" s="1"/>
  <c r="D379" i="86"/>
  <c r="E379" i="86" s="1"/>
  <c r="F379" i="86" s="1"/>
  <c r="G379" i="86" s="1"/>
  <c r="H379" i="86" s="1"/>
  <c r="I379" i="86"/>
  <c r="J379" i="86" s="1"/>
  <c r="K379" i="86" s="1"/>
  <c r="L379" i="86" s="1"/>
  <c r="M379" i="86" s="1"/>
  <c r="N379" i="86" s="1"/>
  <c r="O379" i="86" s="1"/>
  <c r="P379" i="86" s="1"/>
  <c r="P369" i="86"/>
  <c r="P366" i="86"/>
  <c r="P331" i="86"/>
  <c r="G287" i="86"/>
  <c r="H287" i="86" s="1"/>
  <c r="I287" i="86" s="1"/>
  <c r="J287" i="86" s="1"/>
  <c r="K287" i="86" s="1"/>
  <c r="L287" i="86" s="1"/>
  <c r="M287" i="86" s="1"/>
  <c r="N287" i="86" s="1"/>
  <c r="O287" i="86" s="1"/>
  <c r="P287" i="86" s="1"/>
  <c r="P276" i="86"/>
  <c r="P252" i="86"/>
  <c r="P398" i="86"/>
  <c r="P329" i="86"/>
  <c r="D257" i="86"/>
  <c r="E257" i="86"/>
  <c r="F257" i="86"/>
  <c r="G257" i="86"/>
  <c r="H257" i="86" s="1"/>
  <c r="I257" i="86" s="1"/>
  <c r="J257" i="86" s="1"/>
  <c r="K257" i="86" s="1"/>
  <c r="L257" i="86" s="1"/>
  <c r="M257" i="86" s="1"/>
  <c r="N257" i="86" s="1"/>
  <c r="O257" i="86" s="1"/>
  <c r="P257" i="86" s="1"/>
  <c r="P249" i="86"/>
  <c r="D408" i="86"/>
  <c r="E408" i="86"/>
  <c r="F408" i="86" s="1"/>
  <c r="G408" i="86" s="1"/>
  <c r="H408" i="86" s="1"/>
  <c r="I408" i="86" s="1"/>
  <c r="J408" i="86" s="1"/>
  <c r="K408" i="86" s="1"/>
  <c r="L408" i="86" s="1"/>
  <c r="M408" i="86" s="1"/>
  <c r="N408" i="86" s="1"/>
  <c r="O408" i="86" s="1"/>
  <c r="P408" i="86" s="1"/>
  <c r="E380" i="86"/>
  <c r="F380" i="86" s="1"/>
  <c r="G380" i="86" s="1"/>
  <c r="H380" i="86" s="1"/>
  <c r="I380" i="86"/>
  <c r="J380" i="86" s="1"/>
  <c r="K380" i="86" s="1"/>
  <c r="L380" i="86" s="1"/>
  <c r="M380" i="86" s="1"/>
  <c r="N380" i="86" s="1"/>
  <c r="O380" i="86" s="1"/>
  <c r="P380" i="86" s="1"/>
  <c r="P368" i="86"/>
  <c r="E335" i="86"/>
  <c r="F335" i="86"/>
  <c r="G335" i="86"/>
  <c r="H335" i="86"/>
  <c r="I335" i="86" s="1"/>
  <c r="J335" i="86" s="1"/>
  <c r="K335" i="86" s="1"/>
  <c r="L335" i="86"/>
  <c r="M335" i="86" s="1"/>
  <c r="N335" i="86" s="1"/>
  <c r="O335" i="86" s="1"/>
  <c r="P335" i="86" s="1"/>
  <c r="P302" i="86"/>
  <c r="E440" i="86"/>
  <c r="F440" i="86"/>
  <c r="G440" i="86"/>
  <c r="H440" i="86" s="1"/>
  <c r="I440" i="86" s="1"/>
  <c r="J440" i="86"/>
  <c r="K440" i="86"/>
  <c r="L440" i="86" s="1"/>
  <c r="M440" i="86" s="1"/>
  <c r="N440" i="86" s="1"/>
  <c r="O440" i="86" s="1"/>
  <c r="P440" i="86" s="1"/>
  <c r="P431" i="86"/>
  <c r="P371" i="86"/>
  <c r="D309" i="86"/>
  <c r="E309" i="86" s="1"/>
  <c r="F309" i="86" s="1"/>
  <c r="G309" i="86" s="1"/>
  <c r="H309" i="86" s="1"/>
  <c r="I309" i="86" s="1"/>
  <c r="J309" i="86" s="1"/>
  <c r="K309" i="86" s="1"/>
  <c r="L309" i="86" s="1"/>
  <c r="M309" i="86" s="1"/>
  <c r="N309" i="86" s="1"/>
  <c r="O309" i="86" s="1"/>
  <c r="P309" i="86" s="1"/>
  <c r="D284" i="86"/>
  <c r="E284" i="86"/>
  <c r="F284" i="86"/>
  <c r="G284" i="86"/>
  <c r="H284" i="86" s="1"/>
  <c r="I284" i="86" s="1"/>
  <c r="J284" i="86" s="1"/>
  <c r="K284" i="86" s="1"/>
  <c r="L284" i="86" s="1"/>
  <c r="M284" i="86" s="1"/>
  <c r="N284" i="86" s="1"/>
  <c r="O284" i="86" s="1"/>
  <c r="P284" i="86" s="1"/>
  <c r="P250" i="86"/>
  <c r="P200" i="86"/>
  <c r="P399" i="86"/>
  <c r="P275" i="86"/>
  <c r="D261" i="86"/>
  <c r="E261" i="86"/>
  <c r="F261" i="86" s="1"/>
  <c r="G261" i="86" s="1"/>
  <c r="H261" i="86" s="1"/>
  <c r="I261" i="86" s="1"/>
  <c r="J261" i="86" s="1"/>
  <c r="K261" i="86" s="1"/>
  <c r="L261" i="86" s="1"/>
  <c r="M261" i="86" s="1"/>
  <c r="N261" i="86" s="1"/>
  <c r="O261" i="86" s="1"/>
  <c r="P261" i="86" s="1"/>
  <c r="P253" i="86"/>
  <c r="D234" i="86"/>
  <c r="E234" i="86" s="1"/>
  <c r="F234" i="86" s="1"/>
  <c r="G234" i="86"/>
  <c r="H234" i="86" s="1"/>
  <c r="I234" i="86" s="1"/>
  <c r="J234" i="86" s="1"/>
  <c r="K234" i="86" s="1"/>
  <c r="L234" i="86" s="1"/>
  <c r="M234" i="86" s="1"/>
  <c r="N234" i="86" s="1"/>
  <c r="O234" i="86" s="1"/>
  <c r="P234" i="86" s="1"/>
  <c r="P226" i="86"/>
  <c r="P432" i="86"/>
  <c r="P429" i="86"/>
  <c r="P397" i="86"/>
  <c r="P330" i="86"/>
  <c r="D286" i="86"/>
  <c r="E286" i="86"/>
  <c r="F286" i="86"/>
  <c r="G286" i="86" s="1"/>
  <c r="H286" i="86" s="1"/>
  <c r="I286" i="86" s="1"/>
  <c r="J286" i="86" s="1"/>
  <c r="K286" i="86" s="1"/>
  <c r="L286" i="86" s="1"/>
  <c r="M286" i="86"/>
  <c r="N286" i="86" s="1"/>
  <c r="O286" i="86" s="1"/>
  <c r="P286" i="86" s="1"/>
  <c r="P278" i="86"/>
  <c r="E260" i="86"/>
  <c r="F260" i="86" s="1"/>
  <c r="G260" i="86" s="1"/>
  <c r="H260" i="86" s="1"/>
  <c r="I260" i="86" s="1"/>
  <c r="J260" i="86" s="1"/>
  <c r="K260" i="86" s="1"/>
  <c r="L260" i="86" s="1"/>
  <c r="M260" i="86" s="1"/>
  <c r="N260" i="86" s="1"/>
  <c r="O260" i="86" s="1"/>
  <c r="P260" i="86" s="1"/>
  <c r="E258" i="86"/>
  <c r="F258" i="86" s="1"/>
  <c r="G258" i="86" s="1"/>
  <c r="H258" i="86" s="1"/>
  <c r="I258" i="86" s="1"/>
  <c r="J258" i="86" s="1"/>
  <c r="K258" i="86" s="1"/>
  <c r="L258" i="86" s="1"/>
  <c r="M258" i="86" s="1"/>
  <c r="N258" i="86" s="1"/>
  <c r="O258" i="86" s="1"/>
  <c r="P258" i="86" s="1"/>
  <c r="P115" i="86"/>
  <c r="D125" i="86"/>
  <c r="E125" i="86"/>
  <c r="F125" i="86"/>
  <c r="G125" i="86"/>
  <c r="H125" i="86" s="1"/>
  <c r="I125" i="86" s="1"/>
  <c r="J125" i="86" s="1"/>
  <c r="K125" i="86" s="1"/>
  <c r="L125" i="86" s="1"/>
  <c r="M125" i="86" s="1"/>
  <c r="N125" i="86" s="1"/>
  <c r="O125" i="86" s="1"/>
  <c r="P125" i="86" s="1"/>
  <c r="P367" i="86"/>
  <c r="E337" i="86"/>
  <c r="F337" i="86"/>
  <c r="G337" i="86" s="1"/>
  <c r="H337" i="86" s="1"/>
  <c r="I337" i="86" s="1"/>
  <c r="J337" i="86" s="1"/>
  <c r="K337" i="86" s="1"/>
  <c r="L337" i="86" s="1"/>
  <c r="M337" i="86" s="1"/>
  <c r="N337" i="86" s="1"/>
  <c r="O337" i="86" s="1"/>
  <c r="P337" i="86" s="1"/>
  <c r="P304" i="86"/>
  <c r="P227" i="86"/>
  <c r="P223" i="86"/>
  <c r="D209" i="86"/>
  <c r="E209" i="86"/>
  <c r="F209" i="86"/>
  <c r="G209" i="86" s="1"/>
  <c r="H209" i="86" s="1"/>
  <c r="I209" i="86"/>
  <c r="J209" i="86" s="1"/>
  <c r="K209" i="86" s="1"/>
  <c r="L209" i="86" s="1"/>
  <c r="M209" i="86" s="1"/>
  <c r="N209" i="86" s="1"/>
  <c r="O209" i="86" s="1"/>
  <c r="P209" i="86" s="1"/>
  <c r="P201" i="86"/>
  <c r="P173" i="86"/>
  <c r="E126" i="86"/>
  <c r="F126" i="86"/>
  <c r="G126" i="86" s="1"/>
  <c r="H126" i="86" s="1"/>
  <c r="I126" i="86" s="1"/>
  <c r="J126" i="86" s="1"/>
  <c r="K126" i="86" s="1"/>
  <c r="L126" i="86" s="1"/>
  <c r="M126" i="86" s="1"/>
  <c r="N126" i="86" s="1"/>
  <c r="O126" i="86" s="1"/>
  <c r="P126" i="86" s="1"/>
  <c r="P116" i="86"/>
  <c r="P365" i="86"/>
  <c r="E312" i="86"/>
  <c r="F312" i="86" s="1"/>
  <c r="G312" i="86" s="1"/>
  <c r="H312" i="86" s="1"/>
  <c r="I312" i="86" s="1"/>
  <c r="J312" i="86" s="1"/>
  <c r="K312" i="86" s="1"/>
  <c r="L312" i="86" s="1"/>
  <c r="M312" i="86" s="1"/>
  <c r="N312" i="86" s="1"/>
  <c r="O312" i="86" s="1"/>
  <c r="P312" i="86" s="1"/>
  <c r="E283" i="86"/>
  <c r="F283" i="86" s="1"/>
  <c r="G283" i="86" s="1"/>
  <c r="H283" i="86" s="1"/>
  <c r="I283" i="86"/>
  <c r="J283" i="86" s="1"/>
  <c r="K283" i="86" s="1"/>
  <c r="L283" i="86" s="1"/>
  <c r="M283" i="86" s="1"/>
  <c r="N283" i="86" s="1"/>
  <c r="O283" i="86" s="1"/>
  <c r="P283" i="86" s="1"/>
  <c r="P277" i="86"/>
  <c r="D207" i="86"/>
  <c r="E207" i="86"/>
  <c r="F207" i="86"/>
  <c r="G207" i="86" s="1"/>
  <c r="H207" i="86" s="1"/>
  <c r="I207" i="86" s="1"/>
  <c r="J207" i="86" s="1"/>
  <c r="K207" i="86" s="1"/>
  <c r="L207" i="86" s="1"/>
  <c r="M207" i="86" s="1"/>
  <c r="N207" i="86" s="1"/>
  <c r="O207" i="86" s="1"/>
  <c r="P207" i="86" s="1"/>
  <c r="P199" i="86"/>
  <c r="P171" i="86"/>
  <c r="D155" i="86"/>
  <c r="E155" i="86" s="1"/>
  <c r="F155" i="86" s="1"/>
  <c r="G155" i="86"/>
  <c r="H155" i="86" s="1"/>
  <c r="I155" i="86" s="1"/>
  <c r="J155" i="86" s="1"/>
  <c r="K155" i="86" s="1"/>
  <c r="L155" i="86"/>
  <c r="M155" i="86" s="1"/>
  <c r="N155" i="86" s="1"/>
  <c r="O155" i="86" s="1"/>
  <c r="P155" i="86" s="1"/>
  <c r="P147" i="86"/>
  <c r="E231" i="86"/>
  <c r="F231" i="86"/>
  <c r="G231" i="86"/>
  <c r="H231" i="86" s="1"/>
  <c r="I231" i="86" s="1"/>
  <c r="J231" i="86" s="1"/>
  <c r="K231" i="86" s="1"/>
  <c r="L231" i="86" s="1"/>
  <c r="M231" i="86" s="1"/>
  <c r="N231" i="86" s="1"/>
  <c r="O231" i="86" s="1"/>
  <c r="P231" i="86" s="1"/>
  <c r="I153" i="86"/>
  <c r="J153" i="86"/>
  <c r="K153" i="86" s="1"/>
  <c r="L153" i="86" s="1"/>
  <c r="M153" i="86" s="1"/>
  <c r="N153" i="86" s="1"/>
  <c r="O153" i="86" s="1"/>
  <c r="P153" i="86" s="1"/>
  <c r="P87" i="86"/>
  <c r="P145" i="86"/>
  <c r="P117" i="86"/>
  <c r="P88" i="86"/>
  <c r="P85" i="86"/>
  <c r="P54" i="86"/>
  <c r="P19" i="86"/>
  <c r="P84" i="86"/>
  <c r="P57" i="86"/>
  <c r="E96" i="86"/>
  <c r="F96" i="86"/>
  <c r="G96" i="86" s="1"/>
  <c r="H96" i="86" s="1"/>
  <c r="I96" i="86" s="1"/>
  <c r="J96" i="86" s="1"/>
  <c r="K96" i="86" s="1"/>
  <c r="L96" i="86" s="1"/>
  <c r="M96" i="86" s="1"/>
  <c r="N96" i="86" s="1"/>
  <c r="O96" i="86" s="1"/>
  <c r="P96" i="86" s="1"/>
  <c r="P53" i="86"/>
  <c r="D157" i="86"/>
  <c r="E157" i="86" s="1"/>
  <c r="F157" i="86" s="1"/>
  <c r="G157" i="86"/>
  <c r="H157" i="86" s="1"/>
  <c r="I157" i="86" s="1"/>
  <c r="J157" i="86" s="1"/>
  <c r="K157" i="86" s="1"/>
  <c r="L157" i="86"/>
  <c r="M157" i="86" s="1"/>
  <c r="N157" i="86" s="1"/>
  <c r="O157" i="86" s="1"/>
  <c r="P157" i="86" s="1"/>
  <c r="P146" i="86"/>
  <c r="E67" i="86"/>
  <c r="F67" i="86"/>
  <c r="G67" i="86"/>
  <c r="H67" i="86" s="1"/>
  <c r="I67" i="86" s="1"/>
  <c r="J67" i="86" s="1"/>
  <c r="K67" i="86" s="1"/>
  <c r="L67" i="86" s="1"/>
  <c r="M67" i="86" s="1"/>
  <c r="N67" i="86" s="1"/>
  <c r="O67" i="86" s="1"/>
  <c r="P67" i="86" s="1"/>
  <c r="F66" i="86"/>
  <c r="G66" i="86"/>
  <c r="H66" i="86" s="1"/>
  <c r="I66" i="86" s="1"/>
  <c r="J66" i="86" s="1"/>
  <c r="K66" i="86" s="1"/>
  <c r="L66" i="86" s="1"/>
  <c r="M66" i="86" s="1"/>
  <c r="N66" i="86" s="1"/>
  <c r="O66" i="86" s="1"/>
  <c r="P66" i="86" s="1"/>
  <c r="E65" i="86"/>
  <c r="F65" i="86" s="1"/>
  <c r="G65" i="86" s="1"/>
  <c r="H65" i="86" s="1"/>
  <c r="I65" i="86" s="1"/>
  <c r="J65" i="86" s="1"/>
  <c r="K65" i="86" s="1"/>
  <c r="L65" i="86" s="1"/>
  <c r="M65" i="86" s="1"/>
  <c r="N65" i="86" s="1"/>
  <c r="O65" i="86" s="1"/>
  <c r="P65" i="86" s="1"/>
  <c r="F64" i="86"/>
  <c r="G64" i="86"/>
  <c r="H64" i="86"/>
  <c r="I64" i="86"/>
  <c r="J64" i="86" s="1"/>
  <c r="K64" i="86" s="1"/>
  <c r="L64" i="86" s="1"/>
  <c r="M64" i="86" s="1"/>
  <c r="N64" i="86" s="1"/>
  <c r="O64" i="86" s="1"/>
  <c r="P64" i="86" s="1"/>
  <c r="E63" i="86"/>
  <c r="F63" i="86" s="1"/>
  <c r="G63" i="86" s="1"/>
  <c r="H63" i="86" s="1"/>
  <c r="I63" i="86" s="1"/>
  <c r="J63" i="86" s="1"/>
  <c r="K63" i="86" s="1"/>
  <c r="L63" i="86" s="1"/>
  <c r="M63" i="86" s="1"/>
  <c r="N63" i="86" s="1"/>
  <c r="O63" i="86" s="1"/>
  <c r="P63" i="86" s="1"/>
  <c r="E61" i="86"/>
  <c r="F61" i="86" s="1"/>
  <c r="G61" i="86" s="1"/>
  <c r="H61" i="86" s="1"/>
  <c r="I61" i="86" s="1"/>
  <c r="J61" i="86" s="1"/>
  <c r="K61" i="86" s="1"/>
  <c r="L61" i="86" s="1"/>
  <c r="M61" i="86" s="1"/>
  <c r="N61" i="86" s="1"/>
  <c r="O61" i="86" s="1"/>
  <c r="P61" i="86" s="1"/>
  <c r="P25" i="86"/>
  <c r="P21" i="86"/>
  <c r="P172" i="86"/>
  <c r="P86" i="86"/>
  <c r="P55" i="86"/>
  <c r="P51" i="86"/>
  <c r="P121" i="86"/>
  <c r="D21" i="53"/>
  <c r="A2" i="21"/>
  <c r="A2" i="84"/>
  <c r="D22" i="53"/>
  <c r="P39" i="49"/>
  <c r="D21" i="40"/>
  <c r="D19" i="84" s="1"/>
  <c r="G19" i="84" s="1"/>
  <c r="P578" i="86"/>
  <c r="G586" i="86"/>
  <c r="H586" i="86" s="1"/>
  <c r="I586" i="86" s="1"/>
  <c r="J586" i="86" s="1"/>
  <c r="K586" i="86"/>
  <c r="L586" i="86" s="1"/>
  <c r="M586" i="86" s="1"/>
  <c r="N586" i="86"/>
  <c r="O586" i="86" s="1"/>
  <c r="P586" i="86" s="1"/>
  <c r="P599" i="86"/>
  <c r="F562" i="86"/>
  <c r="G562" i="86" s="1"/>
  <c r="H562" i="86" s="1"/>
  <c r="I562" i="86" s="1"/>
  <c r="J562" i="86" s="1"/>
  <c r="K562" i="86" s="1"/>
  <c r="L562" i="86" s="1"/>
  <c r="M562" i="86" s="1"/>
  <c r="N562" i="86" s="1"/>
  <c r="O562" i="86" s="1"/>
  <c r="P562" i="86" s="1"/>
  <c r="E560" i="86"/>
  <c r="F560" i="86"/>
  <c r="G560" i="86" s="1"/>
  <c r="H560" i="86" s="1"/>
  <c r="I560" i="86"/>
  <c r="J560" i="86" s="1"/>
  <c r="K560" i="86" s="1"/>
  <c r="L560" i="86" s="1"/>
  <c r="M560" i="86" s="1"/>
  <c r="N560" i="86" s="1"/>
  <c r="O560" i="86" s="1"/>
  <c r="P560" i="86" s="1"/>
  <c r="F529" i="86"/>
  <c r="G529" i="86"/>
  <c r="H529" i="86" s="1"/>
  <c r="I529" i="86" s="1"/>
  <c r="J529" i="86"/>
  <c r="K529" i="86" s="1"/>
  <c r="L529" i="86" s="1"/>
  <c r="M529" i="86" s="1"/>
  <c r="N529" i="86"/>
  <c r="O529" i="86" s="1"/>
  <c r="P529" i="86" s="1"/>
  <c r="I530" i="86"/>
  <c r="J530" i="86"/>
  <c r="K530" i="86" s="1"/>
  <c r="L530" i="86" s="1"/>
  <c r="M530" i="86" s="1"/>
  <c r="N530" i="86" s="1"/>
  <c r="O530" i="86" s="1"/>
  <c r="P530" i="86" s="1"/>
  <c r="P524" i="86"/>
  <c r="P523" i="86"/>
  <c r="G505" i="86"/>
  <c r="H505" i="86" s="1"/>
  <c r="I505" i="86" s="1"/>
  <c r="J505" i="86"/>
  <c r="K505" i="86" s="1"/>
  <c r="L505" i="86" s="1"/>
  <c r="M505" i="86" s="1"/>
  <c r="N505" i="86" s="1"/>
  <c r="O505" i="86" s="1"/>
  <c r="P505" i="86" s="1"/>
  <c r="P493" i="86"/>
  <c r="D502" i="86"/>
  <c r="E502" i="86"/>
  <c r="F502" i="86" s="1"/>
  <c r="G502" i="86" s="1"/>
  <c r="H502" i="86" s="1"/>
  <c r="I502" i="86" s="1"/>
  <c r="J502" i="86" s="1"/>
  <c r="K502" i="86" s="1"/>
  <c r="L502" i="86" s="1"/>
  <c r="M502" i="86" s="1"/>
  <c r="N502" i="86" s="1"/>
  <c r="O502" i="86" s="1"/>
  <c r="P502" i="86" s="1"/>
  <c r="F603" i="86"/>
  <c r="G603" i="86" s="1"/>
  <c r="H603" i="86" s="1"/>
  <c r="I603" i="86" s="1"/>
  <c r="J603" i="86" s="1"/>
  <c r="K603" i="86" s="1"/>
  <c r="L603" i="86" s="1"/>
  <c r="M603" i="86" s="1"/>
  <c r="N603" i="86" s="1"/>
  <c r="O603" i="86" s="1"/>
  <c r="P603" i="86" s="1"/>
  <c r="P24" i="86"/>
  <c r="E587" i="86"/>
  <c r="F587" i="86" s="1"/>
  <c r="G587" i="86" s="1"/>
  <c r="H587" i="86" s="1"/>
  <c r="I587" i="86" s="1"/>
  <c r="J587" i="86" s="1"/>
  <c r="K587" i="86" s="1"/>
  <c r="L587" i="86" s="1"/>
  <c r="M587" i="86" s="1"/>
  <c r="N587" i="86" s="1"/>
  <c r="O587" i="86" s="1"/>
  <c r="P587" i="86" s="1"/>
  <c r="G475" i="86"/>
  <c r="H475" i="86" s="1"/>
  <c r="I475" i="86" s="1"/>
  <c r="J475" i="86" s="1"/>
  <c r="K475" i="86"/>
  <c r="L475" i="86" s="1"/>
  <c r="M475" i="86" s="1"/>
  <c r="N475" i="86" s="1"/>
  <c r="O475" i="86" s="1"/>
  <c r="P475" i="86" s="1"/>
  <c r="P462" i="86"/>
  <c r="D472" i="86"/>
  <c r="E472" i="86"/>
  <c r="F472" i="86" s="1"/>
  <c r="G472" i="86" s="1"/>
  <c r="H472" i="86" s="1"/>
  <c r="I472" i="86"/>
  <c r="J472" i="86" s="1"/>
  <c r="K472" i="86" s="1"/>
  <c r="L472" i="86" s="1"/>
  <c r="M472" i="86" s="1"/>
  <c r="N472" i="86" s="1"/>
  <c r="O472" i="86" s="1"/>
  <c r="P472" i="86" s="1"/>
  <c r="P370" i="86"/>
  <c r="P434" i="86"/>
  <c r="P402" i="86"/>
  <c r="D412" i="86"/>
  <c r="E412" i="86" s="1"/>
  <c r="F412" i="86" s="1"/>
  <c r="G412" i="86" s="1"/>
  <c r="H412" i="86" s="1"/>
  <c r="I412" i="86" s="1"/>
  <c r="J412" i="86" s="1"/>
  <c r="K412" i="86" s="1"/>
  <c r="L412" i="86" s="1"/>
  <c r="M412" i="86" s="1"/>
  <c r="N412" i="86" s="1"/>
  <c r="O412" i="86" s="1"/>
  <c r="P412" i="86" s="1"/>
  <c r="F339" i="86"/>
  <c r="G339" i="86"/>
  <c r="H339" i="86"/>
  <c r="I339" i="86"/>
  <c r="J339" i="86" s="1"/>
  <c r="K339" i="86" s="1"/>
  <c r="L339" i="86" s="1"/>
  <c r="M339" i="86" s="1"/>
  <c r="N339" i="86" s="1"/>
  <c r="O339" i="86" s="1"/>
  <c r="P339" i="86" s="1"/>
  <c r="P303" i="86"/>
  <c r="D311" i="86"/>
  <c r="E311" i="86" s="1"/>
  <c r="F311" i="86"/>
  <c r="G311" i="86" s="1"/>
  <c r="H311" i="86" s="1"/>
  <c r="I311" i="86" s="1"/>
  <c r="J311" i="86" s="1"/>
  <c r="K311" i="86" s="1"/>
  <c r="L311" i="86" s="1"/>
  <c r="M311" i="86" s="1"/>
  <c r="N311" i="86" s="1"/>
  <c r="O311" i="86" s="1"/>
  <c r="P311" i="86" s="1"/>
  <c r="J438" i="86"/>
  <c r="K438" i="86"/>
  <c r="L438" i="86"/>
  <c r="M438" i="86" s="1"/>
  <c r="N438" i="86" s="1"/>
  <c r="O438" i="86" s="1"/>
  <c r="P438" i="86" s="1"/>
  <c r="P428" i="86"/>
  <c r="E441" i="86"/>
  <c r="F441" i="86"/>
  <c r="G441" i="86"/>
  <c r="H441" i="86" s="1"/>
  <c r="I441" i="86" s="1"/>
  <c r="J441" i="86" s="1"/>
  <c r="K441" i="86" s="1"/>
  <c r="L441" i="86" s="1"/>
  <c r="M441" i="86" s="1"/>
  <c r="N441" i="86" s="1"/>
  <c r="O441" i="86" s="1"/>
  <c r="P441" i="86" s="1"/>
  <c r="P403" i="86"/>
  <c r="D413" i="86"/>
  <c r="E413" i="86"/>
  <c r="F413" i="86" s="1"/>
  <c r="G413" i="86"/>
  <c r="H413" i="86" s="1"/>
  <c r="I413" i="86"/>
  <c r="J413" i="86" s="1"/>
  <c r="K413" i="86" s="1"/>
  <c r="L413" i="86" s="1"/>
  <c r="M413" i="86" s="1"/>
  <c r="N413" i="86" s="1"/>
  <c r="O413" i="86" s="1"/>
  <c r="P413" i="86" s="1"/>
  <c r="K180" i="86"/>
  <c r="L180" i="86" s="1"/>
  <c r="M180" i="86" s="1"/>
  <c r="N180" i="86"/>
  <c r="O180" i="86" s="1"/>
  <c r="P180" i="86" s="1"/>
  <c r="P554" i="86"/>
  <c r="F501" i="86"/>
  <c r="G501" i="86"/>
  <c r="H501" i="86" s="1"/>
  <c r="I501" i="86" s="1"/>
  <c r="J501" i="86" s="1"/>
  <c r="K501" i="86" s="1"/>
  <c r="L501" i="86" s="1"/>
  <c r="M501" i="86" s="1"/>
  <c r="N501" i="86" s="1"/>
  <c r="O501" i="86"/>
  <c r="P501" i="86" s="1"/>
  <c r="E444" i="86"/>
  <c r="F444" i="86"/>
  <c r="G444" i="86" s="1"/>
  <c r="H444" i="86" s="1"/>
  <c r="I444" i="86" s="1"/>
  <c r="J444" i="86" s="1"/>
  <c r="K444" i="86" s="1"/>
  <c r="L444" i="86"/>
  <c r="M444" i="86" s="1"/>
  <c r="N444" i="86" s="1"/>
  <c r="O444" i="86" s="1"/>
  <c r="P444" i="86" s="1"/>
  <c r="P433" i="86"/>
  <c r="G375" i="86"/>
  <c r="H375" i="86"/>
  <c r="I375" i="86"/>
  <c r="J375" i="86" s="1"/>
  <c r="K375" i="86" s="1"/>
  <c r="L375" i="86"/>
  <c r="M375" i="86" s="1"/>
  <c r="N375" i="86" s="1"/>
  <c r="O375" i="86" s="1"/>
  <c r="P375" i="86" s="1"/>
  <c r="P22" i="86"/>
  <c r="P118" i="86"/>
  <c r="P251" i="86"/>
  <c r="D205" i="86"/>
  <c r="E205" i="86" s="1"/>
  <c r="F205" i="86"/>
  <c r="G205" i="86" s="1"/>
  <c r="H205" i="86" s="1"/>
  <c r="I205" i="86" s="1"/>
  <c r="J205" i="86" s="1"/>
  <c r="K205" i="86" s="1"/>
  <c r="L205" i="86" s="1"/>
  <c r="M205" i="86" s="1"/>
  <c r="N205" i="86" s="1"/>
  <c r="O205" i="86" s="1"/>
  <c r="P205" i="86" s="1"/>
  <c r="P197" i="86"/>
  <c r="E259" i="86"/>
  <c r="F259" i="86"/>
  <c r="G259" i="86"/>
  <c r="H259" i="86" s="1"/>
  <c r="I259" i="86" s="1"/>
  <c r="J259" i="86" s="1"/>
  <c r="K259" i="86" s="1"/>
  <c r="L259" i="86" s="1"/>
  <c r="M259" i="86" s="1"/>
  <c r="N259" i="86" s="1"/>
  <c r="O259" i="86" s="1"/>
  <c r="P259" i="86" s="1"/>
  <c r="P56" i="86"/>
  <c r="D130" i="86"/>
  <c r="E130" i="86" s="1"/>
  <c r="F130" i="86" s="1"/>
  <c r="G130" i="86" s="1"/>
  <c r="H130" i="86" s="1"/>
  <c r="I130" i="86" s="1"/>
  <c r="J130" i="86" s="1"/>
  <c r="K130" i="86" s="1"/>
  <c r="L130" i="86" s="1"/>
  <c r="M130" i="86" s="1"/>
  <c r="N130" i="86" s="1"/>
  <c r="O130" i="86" s="1"/>
  <c r="P130" i="86" s="1"/>
  <c r="P120" i="86"/>
  <c r="P119" i="86"/>
  <c r="P225" i="86"/>
  <c r="H206" i="86"/>
  <c r="I206" i="86"/>
  <c r="J206" i="86" s="1"/>
  <c r="K206" i="86" s="1"/>
  <c r="L206" i="86" s="1"/>
  <c r="M206" i="86" s="1"/>
  <c r="N206" i="86" s="1"/>
  <c r="O206" i="86" s="1"/>
  <c r="P206" i="86" s="1"/>
  <c r="P148" i="86"/>
  <c r="D156" i="86"/>
  <c r="E156" i="86" s="1"/>
  <c r="F156" i="86"/>
  <c r="G156" i="86" s="1"/>
  <c r="H156" i="86" s="1"/>
  <c r="I156" i="86" s="1"/>
  <c r="J156" i="86" s="1"/>
  <c r="K156" i="86" s="1"/>
  <c r="L156" i="86" s="1"/>
  <c r="M156" i="86" s="1"/>
  <c r="N156" i="86" s="1"/>
  <c r="O156" i="86" s="1"/>
  <c r="P156" i="86" s="1"/>
  <c r="D99" i="86"/>
  <c r="E99" i="86" s="1"/>
  <c r="F99" i="86"/>
  <c r="G99" i="86" s="1"/>
  <c r="H99" i="86" s="1"/>
  <c r="I99" i="86" s="1"/>
  <c r="J99" i="86" s="1"/>
  <c r="K99" i="86" s="1"/>
  <c r="L99" i="86" s="1"/>
  <c r="M99" i="86" s="1"/>
  <c r="N99" i="86" s="1"/>
  <c r="O99" i="86" s="1"/>
  <c r="P99" i="86" s="1"/>
  <c r="F17" i="46"/>
  <c r="F29" i="46"/>
  <c r="E53" i="18" s="1"/>
  <c r="D29" i="46"/>
  <c r="D53" i="18"/>
  <c r="D23" i="53"/>
  <c r="H75" i="47"/>
  <c r="H76" i="47" s="1"/>
  <c r="H65" i="47"/>
  <c r="H51" i="47"/>
  <c r="H41" i="47"/>
  <c r="H19" i="47"/>
  <c r="P36" i="49"/>
  <c r="Z31" i="49"/>
  <c r="P33" i="49"/>
  <c r="Q11" i="47" s="1"/>
  <c r="P31" i="49"/>
  <c r="O11" i="47" s="1"/>
  <c r="P27" i="49"/>
  <c r="AB36" i="49"/>
  <c r="R36" i="50" s="1"/>
  <c r="Z36" i="49"/>
  <c r="AB39" i="49"/>
  <c r="R39" i="50" s="1"/>
  <c r="AB28" i="49"/>
  <c r="R28" i="50" s="1"/>
  <c r="Z27" i="49"/>
  <c r="AB27" i="49"/>
  <c r="R27" i="50" s="1"/>
  <c r="E77" i="18"/>
  <c r="E74" i="12"/>
  <c r="E88" i="18"/>
  <c r="E23" i="84"/>
  <c r="G29" i="18"/>
  <c r="G25" i="18"/>
  <c r="D360" i="31"/>
  <c r="E47" i="18"/>
  <c r="E50" i="34"/>
  <c r="G21" i="18"/>
  <c r="I15" i="30"/>
  <c r="G22" i="21"/>
  <c r="C6" i="21" s="1"/>
  <c r="D24" i="53"/>
  <c r="O17" i="47"/>
  <c r="O18" i="47" s="1"/>
  <c r="O19" i="47" s="1"/>
  <c r="O20" i="47" s="1"/>
  <c r="O21" i="47" s="1"/>
  <c r="O22" i="47" s="1"/>
  <c r="O23" i="47" s="1"/>
  <c r="O24" i="47" s="1"/>
  <c r="O25" i="47" s="1"/>
  <c r="O26" i="47" s="1"/>
  <c r="O27" i="47" s="1"/>
  <c r="O28" i="47" s="1"/>
  <c r="O29" i="47" s="1"/>
  <c r="O30" i="47" s="1"/>
  <c r="O31" i="47" s="1"/>
  <c r="O32" i="47" s="1"/>
  <c r="O33" i="47" s="1"/>
  <c r="O34" i="47" s="1"/>
  <c r="O35" i="47" s="1"/>
  <c r="O36" i="47" s="1"/>
  <c r="O37" i="47" s="1"/>
  <c r="O38" i="47" s="1"/>
  <c r="O39" i="47" s="1"/>
  <c r="O40" i="47" s="1"/>
  <c r="O41" i="47" s="1"/>
  <c r="O42" i="47" s="1"/>
  <c r="O43" i="47" s="1"/>
  <c r="O44" i="47" s="1"/>
  <c r="O45" i="47" s="1"/>
  <c r="O46" i="47" s="1"/>
  <c r="O47" i="47" s="1"/>
  <c r="O48" i="47" s="1"/>
  <c r="O49" i="47" s="1"/>
  <c r="O50" i="47" s="1"/>
  <c r="O51" i="47" s="1"/>
  <c r="O52" i="47" s="1"/>
  <c r="O53" i="47" s="1"/>
  <c r="O54" i="47" s="1"/>
  <c r="O55" i="47" s="1"/>
  <c r="O56" i="47" s="1"/>
  <c r="O57" i="47" s="1"/>
  <c r="O58" i="47" s="1"/>
  <c r="O59" i="47" s="1"/>
  <c r="O60" i="47" s="1"/>
  <c r="O61" i="47" s="1"/>
  <c r="O62" i="47" s="1"/>
  <c r="O63" i="47" s="1"/>
  <c r="O64" i="47" s="1"/>
  <c r="O65" i="47" s="1"/>
  <c r="O66" i="47" s="1"/>
  <c r="O67" i="47" s="1"/>
  <c r="O68" i="47" s="1"/>
  <c r="O69" i="47" s="1"/>
  <c r="O70" i="47" s="1"/>
  <c r="O71" i="47" s="1"/>
  <c r="O72" i="47" s="1"/>
  <c r="O73" i="47" s="1"/>
  <c r="O74" i="47" s="1"/>
  <c r="O75" i="47" s="1"/>
  <c r="O76" i="47" s="1"/>
  <c r="E19" i="47"/>
  <c r="P17" i="47"/>
  <c r="E17" i="47"/>
  <c r="Q17" i="47"/>
  <c r="Q18" i="47" s="1"/>
  <c r="Q19" i="47" s="1"/>
  <c r="Q20" i="47" s="1"/>
  <c r="Q21" i="47" s="1"/>
  <c r="Q22" i="47" s="1"/>
  <c r="Q23" i="47" s="1"/>
  <c r="Q24" i="47" s="1"/>
  <c r="Q25" i="47" s="1"/>
  <c r="Q26" i="47" s="1"/>
  <c r="Q27" i="47" s="1"/>
  <c r="Q28" i="47" s="1"/>
  <c r="Q29" i="47" s="1"/>
  <c r="Q30" i="47" s="1"/>
  <c r="Q31" i="47" s="1"/>
  <c r="Q32" i="47" s="1"/>
  <c r="Q33" i="47" s="1"/>
  <c r="Q34" i="47" s="1"/>
  <c r="Q35" i="47" s="1"/>
  <c r="Q36" i="47" s="1"/>
  <c r="Q37" i="47" s="1"/>
  <c r="Q38" i="47" s="1"/>
  <c r="Q39" i="47" s="1"/>
  <c r="Q40" i="47" s="1"/>
  <c r="Q41" i="47" s="1"/>
  <c r="Q42" i="47" s="1"/>
  <c r="Q43" i="47" s="1"/>
  <c r="Q44" i="47" s="1"/>
  <c r="Q45" i="47" s="1"/>
  <c r="Q46" i="47" s="1"/>
  <c r="Q47" i="47" s="1"/>
  <c r="Q48" i="47" s="1"/>
  <c r="Q49" i="47" s="1"/>
  <c r="Q50" i="47" s="1"/>
  <c r="Q51" i="47" s="1"/>
  <c r="Q52" i="47" s="1"/>
  <c r="Q53" i="47" s="1"/>
  <c r="Q54" i="47" s="1"/>
  <c r="Q55" i="47" s="1"/>
  <c r="Q56" i="47" s="1"/>
  <c r="Q57" i="47" s="1"/>
  <c r="Q58" i="47" s="1"/>
  <c r="Q59" i="47" s="1"/>
  <c r="Q60" i="47" s="1"/>
  <c r="Q61" i="47" s="1"/>
  <c r="Q62" i="47" s="1"/>
  <c r="Q63" i="47" s="1"/>
  <c r="Q64" i="47" s="1"/>
  <c r="Q65" i="47" s="1"/>
  <c r="Q66" i="47" s="1"/>
  <c r="Q67" i="47" s="1"/>
  <c r="Q68" i="47" s="1"/>
  <c r="Q69" i="47" s="1"/>
  <c r="Q70" i="47" s="1"/>
  <c r="Q71" i="47" s="1"/>
  <c r="Q72" i="47" s="1"/>
  <c r="Q73" i="47" s="1"/>
  <c r="Q74" i="47" s="1"/>
  <c r="Q75" i="47" s="1"/>
  <c r="Q76" i="47" s="1"/>
  <c r="P42" i="47"/>
  <c r="P28" i="47"/>
  <c r="P37" i="49"/>
  <c r="R11" i="47" s="1"/>
  <c r="K17" i="47"/>
  <c r="K18" i="47" s="1"/>
  <c r="K19" i="47" s="1"/>
  <c r="K20" i="47" s="1"/>
  <c r="K21" i="47" s="1"/>
  <c r="K22" i="47" s="1"/>
  <c r="K23" i="47" s="1"/>
  <c r="K24" i="47" s="1"/>
  <c r="K25" i="47" s="1"/>
  <c r="K26" i="47" s="1"/>
  <c r="K27" i="47" s="1"/>
  <c r="K28" i="47" s="1"/>
  <c r="K29" i="47" s="1"/>
  <c r="K30" i="47" s="1"/>
  <c r="K31" i="47" s="1"/>
  <c r="K32" i="47" s="1"/>
  <c r="K33" i="47" s="1"/>
  <c r="K34" i="47" s="1"/>
  <c r="K35" i="47" s="1"/>
  <c r="K36" i="47" s="1"/>
  <c r="K37" i="47" s="1"/>
  <c r="K38" i="47" s="1"/>
  <c r="K39" i="47" s="1"/>
  <c r="K40" i="47" s="1"/>
  <c r="K41" i="47" s="1"/>
  <c r="K42" i="47" s="1"/>
  <c r="K43" i="47" s="1"/>
  <c r="K44" i="47" s="1"/>
  <c r="K45" i="47" s="1"/>
  <c r="K46" i="47" s="1"/>
  <c r="K47" i="47" s="1"/>
  <c r="K48" i="47" s="1"/>
  <c r="K49" i="47" s="1"/>
  <c r="K50" i="47" s="1"/>
  <c r="K51" i="47" s="1"/>
  <c r="K52" i="47" s="1"/>
  <c r="K53" i="47" s="1"/>
  <c r="K54" i="47" s="1"/>
  <c r="K55" i="47" s="1"/>
  <c r="K56" i="47" s="1"/>
  <c r="K57" i="47" s="1"/>
  <c r="K58" i="47" s="1"/>
  <c r="K59" i="47" s="1"/>
  <c r="K60" i="47" s="1"/>
  <c r="K61" i="47" s="1"/>
  <c r="K62" i="47" s="1"/>
  <c r="K63" i="47" s="1"/>
  <c r="K64" i="47" s="1"/>
  <c r="K65" i="47" s="1"/>
  <c r="K66" i="47" s="1"/>
  <c r="K67" i="47" s="1"/>
  <c r="K68" i="47" s="1"/>
  <c r="K69" i="47" s="1"/>
  <c r="K70" i="47" s="1"/>
  <c r="K71" i="47" s="1"/>
  <c r="K72" i="47" s="1"/>
  <c r="K73" i="47" s="1"/>
  <c r="K74" i="47" s="1"/>
  <c r="K75" i="47" s="1"/>
  <c r="K76" i="47" s="1"/>
  <c r="X11" i="49"/>
  <c r="P32" i="47"/>
  <c r="F55" i="47"/>
  <c r="H21" i="47"/>
  <c r="I9" i="47"/>
  <c r="I32" i="47" s="1"/>
  <c r="G9" i="47"/>
  <c r="G24" i="47" s="1"/>
  <c r="P17" i="49"/>
  <c r="G11" i="47" s="1"/>
  <c r="P15" i="49"/>
  <c r="E11" i="47" s="1"/>
  <c r="E9" i="47"/>
  <c r="E38" i="47" s="1"/>
  <c r="P20" i="49"/>
  <c r="J11" i="47" s="1"/>
  <c r="H48" i="47"/>
  <c r="H31" i="47"/>
  <c r="F53" i="47"/>
  <c r="P19" i="49"/>
  <c r="I11" i="47" s="1"/>
  <c r="P23" i="47"/>
  <c r="P19" i="47"/>
  <c r="P21" i="49"/>
  <c r="P18" i="47"/>
  <c r="AB11" i="49"/>
  <c r="I21" i="47"/>
  <c r="I20" i="47"/>
  <c r="I29" i="47"/>
  <c r="AB38" i="49"/>
  <c r="R38" i="50" s="1"/>
  <c r="E682" i="65"/>
  <c r="E685" i="65" s="1"/>
  <c r="A567" i="65"/>
  <c r="A568" i="65" s="1"/>
  <c r="A570" i="65" s="1"/>
  <c r="A101" i="31"/>
  <c r="A160" i="31"/>
  <c r="E555" i="31"/>
  <c r="E558" i="31" s="1"/>
  <c r="H555" i="31"/>
  <c r="H558" i="31" s="1"/>
  <c r="E21" i="40"/>
  <c r="H682" i="65"/>
  <c r="H685" i="65" s="1"/>
  <c r="F496" i="65"/>
  <c r="F499" i="65" s="1"/>
  <c r="F501" i="65" s="1"/>
  <c r="F643" i="65"/>
  <c r="F646" i="65" s="1"/>
  <c r="H11" i="31" l="1"/>
  <c r="D252" i="31"/>
  <c r="A426" i="65"/>
  <c r="A427" i="65" s="1"/>
  <c r="A428" i="65" s="1"/>
  <c r="A429" i="65" s="1"/>
  <c r="A430" i="65" s="1"/>
  <c r="A431" i="65" s="1"/>
  <c r="A432" i="65" s="1"/>
  <c r="A433" i="65" s="1"/>
  <c r="A434" i="65" s="1"/>
  <c r="A435" i="65" s="1"/>
  <c r="A436" i="65" s="1"/>
  <c r="A437" i="65" s="1"/>
  <c r="A438" i="65" s="1"/>
  <c r="A439" i="65" s="1"/>
  <c r="A440" i="65" s="1"/>
  <c r="A441" i="65" s="1"/>
  <c r="A442" i="65" s="1"/>
  <c r="A443" i="65" s="1"/>
  <c r="A452" i="65" s="1"/>
  <c r="A453" i="65" s="1"/>
  <c r="A454" i="65" s="1"/>
  <c r="A455" i="65" s="1"/>
  <c r="A456" i="65" s="1"/>
  <c r="A457" i="65" s="1"/>
  <c r="A458" i="65" s="1"/>
  <c r="A459" i="65" s="1"/>
  <c r="A460" i="65" s="1"/>
  <c r="A461" i="65" s="1"/>
  <c r="A462" i="65" s="1"/>
  <c r="A463" i="65" s="1"/>
  <c r="A381" i="65"/>
  <c r="A382" i="65" s="1"/>
  <c r="A383" i="65" s="1"/>
  <c r="A384" i="65" s="1"/>
  <c r="A385" i="65" s="1"/>
  <c r="A386" i="65" s="1"/>
  <c r="A279" i="31"/>
  <c r="A280" i="31" s="1"/>
  <c r="A281" i="31" s="1"/>
  <c r="A282" i="31" s="1"/>
  <c r="A283" i="31" s="1"/>
  <c r="A284" i="31" s="1"/>
  <c r="A285" i="31" s="1"/>
  <c r="A286" i="31" s="1"/>
  <c r="A287" i="31" s="1"/>
  <c r="A288" i="31" s="1"/>
  <c r="A289" i="31" s="1"/>
  <c r="A290" i="31" s="1"/>
  <c r="A291" i="31" s="1"/>
  <c r="A292" i="31" s="1"/>
  <c r="A302" i="31" s="1"/>
  <c r="A303" i="31" s="1"/>
  <c r="A476" i="31"/>
  <c r="A477" i="31" s="1"/>
  <c r="A478" i="31" s="1"/>
  <c r="A479" i="31" s="1"/>
  <c r="A480" i="31" s="1"/>
  <c r="A481" i="31" s="1"/>
  <c r="A482" i="31" s="1"/>
  <c r="A483" i="31" s="1"/>
  <c r="A484" i="31" s="1"/>
  <c r="A485" i="31" s="1"/>
  <c r="A486" i="31" s="1"/>
  <c r="A487" i="31" s="1"/>
  <c r="A488" i="31" s="1"/>
  <c r="A489" i="31" s="1"/>
  <c r="A491" i="31" s="1"/>
  <c r="A492" i="31" s="1"/>
  <c r="A503" i="31" s="1"/>
  <c r="A504" i="31" s="1"/>
  <c r="A505" i="31" s="1"/>
  <c r="G12" i="53"/>
  <c r="H12" i="53" s="1"/>
  <c r="J12" i="53"/>
  <c r="A10" i="41"/>
  <c r="A11" i="41" s="1"/>
  <c r="A12" i="41" s="1"/>
  <c r="A13" i="41" s="1"/>
  <c r="A14" i="41" s="1"/>
  <c r="A15" i="41" s="1"/>
  <c r="A16" i="41" s="1"/>
  <c r="A17" i="41" s="1"/>
  <c r="A18" i="41" s="1"/>
  <c r="A19" i="41" s="1"/>
  <c r="A20" i="41" s="1"/>
  <c r="A21" i="41" s="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A52" i="41" s="1"/>
  <c r="A53" i="41" s="1"/>
  <c r="A54" i="41" s="1"/>
  <c r="A55" i="41" s="1"/>
  <c r="A56" i="41" s="1"/>
  <c r="A57" i="41" s="1"/>
  <c r="A58" i="41" s="1"/>
  <c r="A59" i="41" s="1"/>
  <c r="A60" i="41" s="1"/>
  <c r="A61" i="41" s="1"/>
  <c r="A62" i="41" s="1"/>
  <c r="A63" i="41" s="1"/>
  <c r="A64" i="41" s="1"/>
  <c r="A65" i="41" s="1"/>
  <c r="A66" i="41" s="1"/>
  <c r="A67" i="41" s="1"/>
  <c r="A75" i="41" s="1"/>
  <c r="A76" i="41" s="1"/>
  <c r="A77" i="41" s="1"/>
  <c r="A78" i="41" s="1"/>
  <c r="A79" i="41" s="1"/>
  <c r="A80" i="41" s="1"/>
  <c r="A81" i="41" s="1"/>
  <c r="A82" i="41" s="1"/>
  <c r="A83" i="41" s="1"/>
  <c r="A84" i="41" s="1"/>
  <c r="A85" i="41" s="1"/>
  <c r="A86" i="41" s="1"/>
  <c r="A87" i="41" s="1"/>
  <c r="A88" i="41" s="1"/>
  <c r="A89" i="41" s="1"/>
  <c r="A90" i="41" s="1"/>
  <c r="A91" i="41" s="1"/>
  <c r="A92" i="41" s="1"/>
  <c r="A93" i="41" s="1"/>
  <c r="A94" i="41" s="1"/>
  <c r="A95" i="41" s="1"/>
  <c r="A96" i="41" s="1"/>
  <c r="A97" i="41" s="1"/>
  <c r="A98" i="41" s="1"/>
  <c r="A99" i="41" s="1"/>
  <c r="A100" i="41" s="1"/>
  <c r="A101" i="41" s="1"/>
  <c r="A102" i="41" s="1"/>
  <c r="A103" i="41" s="1"/>
  <c r="A104" i="41" s="1"/>
  <c r="A105" i="41" s="1"/>
  <c r="A106" i="41" s="1"/>
  <c r="A107" i="41" s="1"/>
  <c r="A108" i="41" s="1"/>
  <c r="A109" i="41" s="1"/>
  <c r="A110" i="41" s="1"/>
  <c r="A111" i="41" s="1"/>
  <c r="A112" i="41" s="1"/>
  <c r="A113" i="41" s="1"/>
  <c r="A114" i="41" s="1"/>
  <c r="A115" i="41" s="1"/>
  <c r="A116" i="41" s="1"/>
  <c r="A117" i="41" s="1"/>
  <c r="A118" i="41" s="1"/>
  <c r="A119" i="41" s="1"/>
  <c r="A120" i="41" s="1"/>
  <c r="A121" i="41" s="1"/>
  <c r="A122" i="41" s="1"/>
  <c r="A123" i="41" s="1"/>
  <c r="A124" i="41" s="1"/>
  <c r="A125" i="41" s="1"/>
  <c r="A126" i="41" s="1"/>
  <c r="A127" i="41" s="1"/>
  <c r="A128" i="41" s="1"/>
  <c r="A129" i="41" s="1"/>
  <c r="A130" i="41" s="1"/>
  <c r="A131" i="41" s="1"/>
  <c r="A132" i="41" s="1"/>
  <c r="A133" i="41" s="1"/>
  <c r="A134" i="41" s="1"/>
  <c r="A135" i="41" s="1"/>
  <c r="A136" i="41" s="1"/>
  <c r="A137" i="41" s="1"/>
  <c r="A138" i="41" s="1"/>
  <c r="A146" i="41" s="1"/>
  <c r="A147" i="41" s="1"/>
  <c r="A148" i="41" s="1"/>
  <c r="A149" i="41" s="1"/>
  <c r="A150" i="41" s="1"/>
  <c r="A151" i="41" s="1"/>
  <c r="A152" i="41" s="1"/>
  <c r="A153" i="41" s="1"/>
  <c r="A154" i="41" s="1"/>
  <c r="A156" i="41" s="1"/>
  <c r="A166" i="41" s="1"/>
  <c r="A167" i="41" s="1"/>
  <c r="A168" i="41" s="1"/>
  <c r="A169" i="41" s="1"/>
  <c r="A170" i="41" s="1"/>
  <c r="A171" i="41" s="1"/>
  <c r="A172" i="41" s="1"/>
  <c r="A173" i="41" s="1"/>
  <c r="A174" i="41" s="1"/>
  <c r="A175" i="41" s="1"/>
  <c r="A176" i="41" s="1"/>
  <c r="A177" i="41" s="1"/>
  <c r="A178" i="41" s="1"/>
  <c r="A179" i="41" s="1"/>
  <c r="A180" i="41" s="1"/>
  <c r="A181" i="41" s="1"/>
  <c r="A182" i="41" s="1"/>
  <c r="A183" i="41" s="1"/>
  <c r="A184" i="41" s="1"/>
  <c r="A185" i="41" s="1"/>
  <c r="A187" i="41" s="1"/>
  <c r="H449" i="42"/>
  <c r="D28" i="12" s="1"/>
  <c r="A362" i="42"/>
  <c r="A363" i="42" s="1"/>
  <c r="A364" i="42" s="1"/>
  <c r="A365" i="42" s="1"/>
  <c r="A366" i="42" s="1"/>
  <c r="A367" i="42" s="1"/>
  <c r="A368" i="42" s="1"/>
  <c r="A369" i="42" s="1"/>
  <c r="A370" i="42" s="1"/>
  <c r="A371" i="42" s="1"/>
  <c r="A372" i="42" s="1"/>
  <c r="A373" i="42" s="1"/>
  <c r="A374" i="42" s="1"/>
  <c r="A375" i="42" s="1"/>
  <c r="A376" i="42" s="1"/>
  <c r="A377" i="42" s="1"/>
  <c r="A378" i="42" s="1"/>
  <c r="A379" i="42" s="1"/>
  <c r="A380" i="42" s="1"/>
  <c r="A381" i="42" s="1"/>
  <c r="A382" i="42" s="1"/>
  <c r="A383" i="42" s="1"/>
  <c r="A384" i="42" s="1"/>
  <c r="A385" i="42" s="1"/>
  <c r="A386" i="42" s="1"/>
  <c r="A387" i="42" s="1"/>
  <c r="A388" i="42" s="1"/>
  <c r="A389" i="42" s="1"/>
  <c r="A390" i="42" s="1"/>
  <c r="A391" i="42" s="1"/>
  <c r="A392" i="42" s="1"/>
  <c r="A393" i="42" s="1"/>
  <c r="A394" i="42" s="1"/>
  <c r="A395" i="42" s="1"/>
  <c r="A396" i="42" s="1"/>
  <c r="A397" i="42" s="1"/>
  <c r="A398" i="42" s="1"/>
  <c r="A399" i="42" s="1"/>
  <c r="A400" i="42" s="1"/>
  <c r="A401" i="42" s="1"/>
  <c r="A402" i="42" s="1"/>
  <c r="A403" i="42" s="1"/>
  <c r="A404" i="42" s="1"/>
  <c r="A405" i="42" s="1"/>
  <c r="A406" i="42" s="1"/>
  <c r="A407" i="42" s="1"/>
  <c r="A408" i="42" s="1"/>
  <c r="A409" i="42" s="1"/>
  <c r="A410" i="42"/>
  <c r="A411" i="42" s="1"/>
  <c r="A412" i="42" s="1"/>
  <c r="A413" i="42" s="1"/>
  <c r="A414" i="42" s="1"/>
  <c r="A415" i="42" s="1"/>
  <c r="A416" i="42" s="1"/>
  <c r="A417" i="42" s="1"/>
  <c r="A418" i="42" s="1"/>
  <c r="A419" i="42" s="1"/>
  <c r="A420" i="42" s="1"/>
  <c r="A421" i="42" s="1"/>
  <c r="P38" i="49"/>
  <c r="I34" i="47"/>
  <c r="D17" i="47"/>
  <c r="E13" i="47"/>
  <c r="E18" i="47"/>
  <c r="J41" i="50"/>
  <c r="Z19" i="49"/>
  <c r="I18" i="47"/>
  <c r="Z28" i="49"/>
  <c r="Z39" i="49"/>
  <c r="I31" i="47"/>
  <c r="I22" i="47"/>
  <c r="I23" i="47"/>
  <c r="E36" i="47"/>
  <c r="K11" i="47"/>
  <c r="K16" i="47" s="1"/>
  <c r="Z37" i="49"/>
  <c r="G18" i="12"/>
  <c r="F24" i="40"/>
  <c r="G25" i="12"/>
  <c r="G13" i="12"/>
  <c r="D29" i="84"/>
  <c r="D41" i="18"/>
  <c r="E72" i="12"/>
  <c r="G72" i="12" s="1"/>
  <c r="G24" i="18"/>
  <c r="G20" i="18"/>
  <c r="I23" i="30"/>
  <c r="E28" i="84"/>
  <c r="E30" i="84" s="1"/>
  <c r="G44" i="18"/>
  <c r="I22" i="30"/>
  <c r="G17" i="12"/>
  <c r="G26" i="18"/>
  <c r="I21" i="30"/>
  <c r="G20" i="12"/>
  <c r="E67" i="12"/>
  <c r="G67" i="12" s="1"/>
  <c r="D34" i="18"/>
  <c r="D47" i="18"/>
  <c r="D26" i="84"/>
  <c r="G24" i="84"/>
  <c r="G45" i="18"/>
  <c r="G46" i="18"/>
  <c r="C50" i="12" s="1"/>
  <c r="E25" i="30"/>
  <c r="G17" i="21"/>
  <c r="G27" i="18"/>
  <c r="A160" i="41"/>
  <c r="E89" i="18"/>
  <c r="G15" i="21"/>
  <c r="A328" i="36"/>
  <c r="A329" i="36" s="1"/>
  <c r="A330" i="36" s="1"/>
  <c r="A331" i="36" s="1"/>
  <c r="A322" i="38"/>
  <c r="A323" i="38" s="1"/>
  <c r="A324" i="38" s="1"/>
  <c r="A325" i="38" s="1"/>
  <c r="A326" i="38" s="1"/>
  <c r="A327" i="38" s="1"/>
  <c r="G11" i="65"/>
  <c r="G15" i="65"/>
  <c r="H226" i="31"/>
  <c r="A621" i="65"/>
  <c r="A622" i="65" s="1"/>
  <c r="A623" i="65" s="1"/>
  <c r="A624" i="65" s="1"/>
  <c r="D515" i="31"/>
  <c r="D518" i="31" s="1"/>
  <c r="F648" i="65"/>
  <c r="A571" i="65"/>
  <c r="A573" i="65" s="1"/>
  <c r="A574" i="65" s="1"/>
  <c r="A575" i="65" s="1"/>
  <c r="A576" i="65" s="1"/>
  <c r="A577" i="65" s="1"/>
  <c r="A578" i="65" s="1"/>
  <c r="F518" i="65"/>
  <c r="E643" i="65"/>
  <c r="E646" i="65" s="1"/>
  <c r="E648" i="65" s="1"/>
  <c r="E686" i="65" s="1"/>
  <c r="E687" i="65" s="1"/>
  <c r="E518" i="65"/>
  <c r="F578" i="65"/>
  <c r="G437" i="31"/>
  <c r="G440" i="31" s="1"/>
  <c r="H515" i="31"/>
  <c r="H518" i="31" s="1"/>
  <c r="E515" i="31"/>
  <c r="E518" i="31" s="1"/>
  <c r="E379" i="31"/>
  <c r="F515" i="31"/>
  <c r="F518" i="31" s="1"/>
  <c r="F520" i="31" s="1"/>
  <c r="F379" i="31"/>
  <c r="E20" i="84"/>
  <c r="H21" i="40"/>
  <c r="G18" i="84"/>
  <c r="G20" i="84" s="1"/>
  <c r="D20" i="84"/>
  <c r="E28" i="12"/>
  <c r="H187" i="41"/>
  <c r="E35" i="12" s="1"/>
  <c r="H467" i="42"/>
  <c r="D35" i="12" s="1"/>
  <c r="A76" i="42"/>
  <c r="A278" i="42" s="1"/>
  <c r="A355" i="42" s="1"/>
  <c r="E52" i="34"/>
  <c r="F8" i="84" s="1"/>
  <c r="G29" i="84"/>
  <c r="I6" i="30"/>
  <c r="I14" i="30" s="1"/>
  <c r="I16" i="30" s="1"/>
  <c r="F13" i="84"/>
  <c r="F14" i="84" s="1"/>
  <c r="G28" i="18"/>
  <c r="G23" i="21"/>
  <c r="E73" i="12"/>
  <c r="G73" i="12" s="1"/>
  <c r="E26" i="84"/>
  <c r="G31" i="18"/>
  <c r="G19" i="12"/>
  <c r="G28" i="21"/>
  <c r="G29" i="21"/>
  <c r="G22" i="18"/>
  <c r="I24" i="30"/>
  <c r="G21" i="12"/>
  <c r="F25" i="30"/>
  <c r="E66" i="12"/>
  <c r="G66" i="12" s="1"/>
  <c r="D57" i="12" s="1"/>
  <c r="G39" i="18"/>
  <c r="E65" i="12"/>
  <c r="G14" i="21"/>
  <c r="E68" i="12"/>
  <c r="G23" i="84"/>
  <c r="P26" i="47"/>
  <c r="P43" i="47"/>
  <c r="P22" i="47"/>
  <c r="P40" i="47"/>
  <c r="P24" i="47"/>
  <c r="P41" i="47"/>
  <c r="P31" i="47"/>
  <c r="P20" i="47"/>
  <c r="P39" i="47"/>
  <c r="P30" i="47"/>
  <c r="P44" i="47"/>
  <c r="P33" i="47"/>
  <c r="P21" i="47"/>
  <c r="P36" i="47"/>
  <c r="P38" i="47"/>
  <c r="P29" i="47"/>
  <c r="P35" i="47"/>
  <c r="P25" i="47"/>
  <c r="P37" i="47"/>
  <c r="P27" i="47"/>
  <c r="P45" i="47"/>
  <c r="G30" i="47"/>
  <c r="Q14" i="47"/>
  <c r="O14" i="47"/>
  <c r="Z15" i="49"/>
  <c r="Z22" i="49"/>
  <c r="G33" i="47"/>
  <c r="G31" i="47"/>
  <c r="G23" i="47"/>
  <c r="G26" i="47"/>
  <c r="J24" i="47"/>
  <c r="J27" i="47"/>
  <c r="J28" i="47"/>
  <c r="J32" i="47"/>
  <c r="J18" i="47"/>
  <c r="J20" i="47"/>
  <c r="J22" i="47"/>
  <c r="J23" i="47"/>
  <c r="J26" i="47"/>
  <c r="J21" i="47"/>
  <c r="J17" i="47"/>
  <c r="J31" i="47"/>
  <c r="J19" i="47"/>
  <c r="J29" i="47"/>
  <c r="J33" i="47"/>
  <c r="J25" i="47"/>
  <c r="J30" i="47"/>
  <c r="J35" i="47"/>
  <c r="J36" i="47" s="1"/>
  <c r="J34" i="47"/>
  <c r="H56" i="47"/>
  <c r="H27" i="47"/>
  <c r="H66" i="47"/>
  <c r="I28" i="47"/>
  <c r="G17" i="47"/>
  <c r="E66" i="47"/>
  <c r="H32" i="47"/>
  <c r="H20" i="47"/>
  <c r="H64" i="47"/>
  <c r="F47" i="47"/>
  <c r="H35" i="47"/>
  <c r="H25" i="47"/>
  <c r="H54" i="47"/>
  <c r="H67" i="47"/>
  <c r="H23" i="47"/>
  <c r="G25" i="47"/>
  <c r="E74" i="47"/>
  <c r="F24" i="47"/>
  <c r="H29" i="47"/>
  <c r="H55" i="47"/>
  <c r="H72" i="47"/>
  <c r="H38" i="47"/>
  <c r="H33" i="47"/>
  <c r="H57" i="47"/>
  <c r="H68" i="47"/>
  <c r="J14" i="47"/>
  <c r="V20" i="49" s="1"/>
  <c r="AB20" i="49" s="1"/>
  <c r="R20" i="50" s="1"/>
  <c r="H30" i="47"/>
  <c r="H17" i="47"/>
  <c r="H52" i="47"/>
  <c r="G18" i="47"/>
  <c r="E47" i="47"/>
  <c r="F35" i="47"/>
  <c r="H53" i="47"/>
  <c r="H63" i="47"/>
  <c r="H24" i="47"/>
  <c r="H46" i="47"/>
  <c r="H44" i="47"/>
  <c r="H58" i="47"/>
  <c r="H70" i="47"/>
  <c r="P22" i="49"/>
  <c r="L11" i="47" s="1"/>
  <c r="L14" i="47" s="1"/>
  <c r="E35" i="47"/>
  <c r="H71" i="47"/>
  <c r="H28" i="47"/>
  <c r="H59" i="47"/>
  <c r="G34" i="47"/>
  <c r="E41" i="47"/>
  <c r="P18" i="49"/>
  <c r="H11" i="47" s="1"/>
  <c r="H14" i="47" s="1"/>
  <c r="V18" i="49" s="1"/>
  <c r="AB18" i="49" s="1"/>
  <c r="R18" i="50" s="1"/>
  <c r="F29" i="47"/>
  <c r="H69" i="47"/>
  <c r="H45" i="47"/>
  <c r="H22" i="47"/>
  <c r="Z20" i="49"/>
  <c r="H36" i="47"/>
  <c r="H26" i="47"/>
  <c r="H49" i="47"/>
  <c r="H60" i="47"/>
  <c r="H74" i="47"/>
  <c r="F44" i="47"/>
  <c r="H61" i="47"/>
  <c r="H42" i="47"/>
  <c r="Z18" i="49"/>
  <c r="H18" i="47"/>
  <c r="H47" i="47"/>
  <c r="H73" i="47"/>
  <c r="G22" i="47"/>
  <c r="E25" i="47"/>
  <c r="F43" i="47"/>
  <c r="H39" i="47"/>
  <c r="H40" i="47"/>
  <c r="H43" i="47"/>
  <c r="H34" i="47"/>
  <c r="H50" i="47"/>
  <c r="H62" i="47"/>
  <c r="F42" i="47"/>
  <c r="F33" i="47"/>
  <c r="F39" i="47"/>
  <c r="F27" i="47"/>
  <c r="F38" i="47"/>
  <c r="F74" i="47"/>
  <c r="F63" i="47"/>
  <c r="E14" i="47"/>
  <c r="V15" i="49" s="1"/>
  <c r="AB15" i="49" s="1"/>
  <c r="R15" i="50" s="1"/>
  <c r="F71" i="47"/>
  <c r="P14" i="49"/>
  <c r="D11" i="47" s="1"/>
  <c r="D14" i="47" s="1"/>
  <c r="V14" i="49" s="1"/>
  <c r="AB14" i="49" s="1"/>
  <c r="R14" i="50" s="1"/>
  <c r="E58" i="47"/>
  <c r="E45" i="47"/>
  <c r="E30" i="47"/>
  <c r="E28" i="47"/>
  <c r="E31" i="47"/>
  <c r="E75" i="47"/>
  <c r="E76" i="47" s="1"/>
  <c r="E72" i="47"/>
  <c r="E32" i="47"/>
  <c r="F23" i="47"/>
  <c r="D18" i="47"/>
  <c r="D19" i="47" s="1"/>
  <c r="D20" i="47" s="1"/>
  <c r="D21" i="47" s="1"/>
  <c r="D22" i="47" s="1"/>
  <c r="D23" i="47" s="1"/>
  <c r="D24" i="47" s="1"/>
  <c r="D25" i="47" s="1"/>
  <c r="D26" i="47" s="1"/>
  <c r="D27" i="47" s="1"/>
  <c r="D28" i="47" s="1"/>
  <c r="D29" i="47" s="1"/>
  <c r="D30" i="47" s="1"/>
  <c r="D31" i="47" s="1"/>
  <c r="D32" i="47" s="1"/>
  <c r="D33" i="47" s="1"/>
  <c r="D34" i="47" s="1"/>
  <c r="D35" i="47" s="1"/>
  <c r="D36" i="47" s="1"/>
  <c r="D37" i="47" s="1"/>
  <c r="D38" i="47" s="1"/>
  <c r="D39" i="47" s="1"/>
  <c r="D40" i="47" s="1"/>
  <c r="D41" i="47" s="1"/>
  <c r="D42" i="47" s="1"/>
  <c r="D43" i="47" s="1"/>
  <c r="D44" i="47" s="1"/>
  <c r="D45" i="47" s="1"/>
  <c r="D46" i="47" s="1"/>
  <c r="D47" i="47" s="1"/>
  <c r="D48" i="47" s="1"/>
  <c r="D49" i="47" s="1"/>
  <c r="D50" i="47" s="1"/>
  <c r="D51" i="47" s="1"/>
  <c r="D52" i="47" s="1"/>
  <c r="D53" i="47" s="1"/>
  <c r="D54" i="47" s="1"/>
  <c r="D55" i="47" s="1"/>
  <c r="D56" i="47" s="1"/>
  <c r="D57" i="47" s="1"/>
  <c r="D58" i="47" s="1"/>
  <c r="D59" i="47" s="1"/>
  <c r="D60" i="47" s="1"/>
  <c r="D61" i="47" s="1"/>
  <c r="D62" i="47" s="1"/>
  <c r="D63" i="47" s="1"/>
  <c r="D64" i="47" s="1"/>
  <c r="D65" i="47" s="1"/>
  <c r="D66" i="47" s="1"/>
  <c r="D67" i="47" s="1"/>
  <c r="D68" i="47" s="1"/>
  <c r="D69" i="47" s="1"/>
  <c r="D70" i="47" s="1"/>
  <c r="D71" i="47" s="1"/>
  <c r="D72" i="47" s="1"/>
  <c r="D73" i="47" s="1"/>
  <c r="D74" i="47" s="1"/>
  <c r="D75" i="47" s="1"/>
  <c r="D76" i="47" s="1"/>
  <c r="F31" i="47"/>
  <c r="F18" i="47"/>
  <c r="F25" i="47"/>
  <c r="F36" i="47"/>
  <c r="F66" i="47"/>
  <c r="F19" i="47"/>
  <c r="F28" i="47"/>
  <c r="P16" i="49"/>
  <c r="F11" i="47" s="1"/>
  <c r="E34" i="47"/>
  <c r="E40" i="47"/>
  <c r="E73" i="47"/>
  <c r="E26" i="47"/>
  <c r="E24" i="47"/>
  <c r="E67" i="47"/>
  <c r="E64" i="47"/>
  <c r="E20" i="47"/>
  <c r="F46" i="47"/>
  <c r="F22" i="47"/>
  <c r="F17" i="47"/>
  <c r="F34" i="47"/>
  <c r="F58" i="47"/>
  <c r="F20" i="47"/>
  <c r="F41" i="47"/>
  <c r="E42" i="47"/>
  <c r="E21" i="47"/>
  <c r="E65" i="47"/>
  <c r="E57" i="47"/>
  <c r="E68" i="47"/>
  <c r="E70" i="47"/>
  <c r="E59" i="47"/>
  <c r="E56" i="47"/>
  <c r="E69" i="47"/>
  <c r="F62" i="47"/>
  <c r="F68" i="47"/>
  <c r="F73" i="47"/>
  <c r="F75" i="47"/>
  <c r="F76" i="47" s="1"/>
  <c r="F72" i="47"/>
  <c r="F32" i="47"/>
  <c r="F50" i="47"/>
  <c r="F26" i="47"/>
  <c r="E50" i="47"/>
  <c r="E33" i="47"/>
  <c r="E23" i="47"/>
  <c r="E49" i="47"/>
  <c r="E71" i="47"/>
  <c r="E60" i="47"/>
  <c r="E62" i="47"/>
  <c r="E51" i="47"/>
  <c r="E48" i="47"/>
  <c r="E61" i="47"/>
  <c r="F60" i="47"/>
  <c r="F65" i="47"/>
  <c r="F67" i="47"/>
  <c r="F64" i="47"/>
  <c r="F21" i="47"/>
  <c r="F45" i="47"/>
  <c r="F54" i="47"/>
  <c r="F52" i="47"/>
  <c r="F57" i="47"/>
  <c r="F59" i="47"/>
  <c r="F56" i="47"/>
  <c r="F69" i="47"/>
  <c r="F40" i="47"/>
  <c r="F70" i="47"/>
  <c r="E44" i="47"/>
  <c r="E63" i="47"/>
  <c r="E52" i="47"/>
  <c r="E54" i="47"/>
  <c r="E29" i="47"/>
  <c r="E43" i="47"/>
  <c r="E53" i="47"/>
  <c r="E22" i="47"/>
  <c r="E39" i="47"/>
  <c r="E55" i="47"/>
  <c r="E37" i="47"/>
  <c r="E46" i="47"/>
  <c r="E27" i="47"/>
  <c r="F37" i="47"/>
  <c r="F49" i="47"/>
  <c r="F51" i="47"/>
  <c r="F48" i="47"/>
  <c r="F61" i="47"/>
  <c r="H41" i="49"/>
  <c r="Z14" i="49"/>
  <c r="H207" i="31"/>
  <c r="G207" i="31" s="1"/>
  <c r="G643" i="65"/>
  <c r="G646" i="65" s="1"/>
  <c r="G555" i="31"/>
  <c r="G558" i="31" s="1"/>
  <c r="H357" i="31"/>
  <c r="H360" i="31" s="1"/>
  <c r="I14" i="47"/>
  <c r="V19" i="49" s="1"/>
  <c r="AB19" i="49" s="1"/>
  <c r="R19" i="50" s="1"/>
  <c r="I16" i="47"/>
  <c r="E41" i="18"/>
  <c r="G40" i="18"/>
  <c r="G41" i="18" s="1"/>
  <c r="F6" i="18" s="1"/>
  <c r="J16" i="47"/>
  <c r="G14" i="47"/>
  <c r="V17" i="49" s="1"/>
  <c r="AB17" i="49" s="1"/>
  <c r="R17" i="50" s="1"/>
  <c r="G16" i="47"/>
  <c r="G21" i="47"/>
  <c r="G29" i="47"/>
  <c r="G27" i="47"/>
  <c r="G20" i="47"/>
  <c r="G19" i="47"/>
  <c r="G28" i="47"/>
  <c r="G35" i="47"/>
  <c r="G36" i="47" s="1"/>
  <c r="E16" i="47"/>
  <c r="I27" i="47"/>
  <c r="I33" i="47"/>
  <c r="I17" i="47"/>
  <c r="I19" i="47"/>
  <c r="I35" i="47"/>
  <c r="I36" i="47" s="1"/>
  <c r="I24" i="47"/>
  <c r="I25" i="47"/>
  <c r="E54" i="18"/>
  <c r="I26" i="47"/>
  <c r="I30" i="47"/>
  <c r="G32" i="47"/>
  <c r="Q16" i="47"/>
  <c r="E6" i="21"/>
  <c r="D6" i="21"/>
  <c r="O16" i="47"/>
  <c r="E34" i="18"/>
  <c r="G25" i="84"/>
  <c r="G24" i="40"/>
  <c r="H24" i="40" s="1"/>
  <c r="D28" i="84"/>
  <c r="G23" i="18"/>
  <c r="D77" i="18"/>
  <c r="A2" i="31"/>
  <c r="A2" i="65"/>
  <c r="D88" i="18"/>
  <c r="D54" i="18"/>
  <c r="E44" i="34"/>
  <c r="E45" i="34" s="1"/>
  <c r="K559" i="86"/>
  <c r="L559" i="86" s="1"/>
  <c r="M559" i="86" s="1"/>
  <c r="N559" i="86" s="1"/>
  <c r="O559" i="86" s="1"/>
  <c r="P559" i="86" s="1"/>
  <c r="H563" i="86"/>
  <c r="I563" i="86" s="1"/>
  <c r="J563" i="86" s="1"/>
  <c r="K563" i="86" s="1"/>
  <c r="L563" i="86" s="1"/>
  <c r="M563" i="86" s="1"/>
  <c r="N563" i="86" s="1"/>
  <c r="O563" i="86" s="1"/>
  <c r="P563" i="86" s="1"/>
  <c r="F564" i="86"/>
  <c r="G564" i="86" s="1"/>
  <c r="H564" i="86" s="1"/>
  <c r="I564" i="86" s="1"/>
  <c r="J564" i="86" s="1"/>
  <c r="K564" i="86" s="1"/>
  <c r="L564" i="86" s="1"/>
  <c r="M564" i="86" s="1"/>
  <c r="N564" i="86" s="1"/>
  <c r="O564" i="86" s="1"/>
  <c r="P564" i="86" s="1"/>
  <c r="P579" i="86"/>
  <c r="E439" i="86"/>
  <c r="F439" i="86" s="1"/>
  <c r="G439" i="86" s="1"/>
  <c r="H439" i="86" s="1"/>
  <c r="I439" i="86" s="1"/>
  <c r="J439" i="86" s="1"/>
  <c r="K439" i="86" s="1"/>
  <c r="L439" i="86" s="1"/>
  <c r="M439" i="86" s="1"/>
  <c r="N439" i="86" s="1"/>
  <c r="O439" i="86" s="1"/>
  <c r="P439" i="86" s="1"/>
  <c r="P149" i="86"/>
  <c r="E531" i="86"/>
  <c r="F531" i="86" s="1"/>
  <c r="G531" i="86" s="1"/>
  <c r="H531" i="86" s="1"/>
  <c r="I531" i="86" s="1"/>
  <c r="J531" i="86" s="1"/>
  <c r="K531" i="86" s="1"/>
  <c r="L531" i="86" s="1"/>
  <c r="M531" i="86" s="1"/>
  <c r="N531" i="86" s="1"/>
  <c r="O531" i="86" s="1"/>
  <c r="P531" i="86" s="1"/>
  <c r="K336" i="86"/>
  <c r="L336" i="86" s="1"/>
  <c r="M336" i="86" s="1"/>
  <c r="N336" i="86" s="1"/>
  <c r="O336" i="86" s="1"/>
  <c r="P336" i="86" s="1"/>
  <c r="P430" i="86"/>
  <c r="P401" i="86"/>
  <c r="P605" i="86" s="1"/>
  <c r="P607" i="86" s="1"/>
  <c r="F377" i="86"/>
  <c r="G377" i="86" s="1"/>
  <c r="H377" i="86" s="1"/>
  <c r="I377" i="86" s="1"/>
  <c r="J377" i="86" s="1"/>
  <c r="K377" i="86" s="1"/>
  <c r="L377" i="86" s="1"/>
  <c r="M377" i="86" s="1"/>
  <c r="N377" i="86" s="1"/>
  <c r="O377" i="86" s="1"/>
  <c r="P377" i="86" s="1"/>
  <c r="P609" i="86" s="1"/>
  <c r="P611" i="86" s="1"/>
  <c r="G471" i="86"/>
  <c r="H471" i="86" s="1"/>
  <c r="I471" i="86" s="1"/>
  <c r="J471" i="86" s="1"/>
  <c r="K471" i="86" s="1"/>
  <c r="L471" i="86" s="1"/>
  <c r="M471" i="86" s="1"/>
  <c r="N471" i="86" s="1"/>
  <c r="O471" i="86" s="1"/>
  <c r="P471" i="86" s="1"/>
  <c r="I338" i="86"/>
  <c r="J338" i="86" s="1"/>
  <c r="K338" i="86" s="1"/>
  <c r="L338" i="86" s="1"/>
  <c r="M338" i="86" s="1"/>
  <c r="N338" i="86" s="1"/>
  <c r="O338" i="86" s="1"/>
  <c r="P338" i="86" s="1"/>
  <c r="I233" i="86"/>
  <c r="J233" i="86" s="1"/>
  <c r="K233" i="86" s="1"/>
  <c r="L233" i="86" s="1"/>
  <c r="M233" i="86" s="1"/>
  <c r="N233" i="86" s="1"/>
  <c r="O233" i="86" s="1"/>
  <c r="P233" i="86" s="1"/>
  <c r="D232" i="86"/>
  <c r="E232" i="86" s="1"/>
  <c r="F232" i="86" s="1"/>
  <c r="G232" i="86" s="1"/>
  <c r="H232" i="86" s="1"/>
  <c r="I232" i="86" s="1"/>
  <c r="J232" i="86" s="1"/>
  <c r="K232" i="86" s="1"/>
  <c r="L232" i="86" s="1"/>
  <c r="M232" i="86" s="1"/>
  <c r="N232" i="86" s="1"/>
  <c r="O232" i="86" s="1"/>
  <c r="P232" i="86" s="1"/>
  <c r="P224" i="86"/>
  <c r="P175" i="86"/>
  <c r="G179" i="86"/>
  <c r="H179" i="86" s="1"/>
  <c r="I179" i="86" s="1"/>
  <c r="J179" i="86" s="1"/>
  <c r="K179" i="86" s="1"/>
  <c r="L179" i="86" s="1"/>
  <c r="M179" i="86" s="1"/>
  <c r="N179" i="86" s="1"/>
  <c r="O179" i="86" s="1"/>
  <c r="P179" i="86" s="1"/>
  <c r="F154" i="86"/>
  <c r="G154" i="86" s="1"/>
  <c r="H154" i="86" s="1"/>
  <c r="I154" i="86" s="1"/>
  <c r="J154" i="86" s="1"/>
  <c r="K154" i="86" s="1"/>
  <c r="L154" i="86" s="1"/>
  <c r="M154" i="86" s="1"/>
  <c r="N154" i="86" s="1"/>
  <c r="O154" i="86" s="1"/>
  <c r="P154" i="86" s="1"/>
  <c r="K381" i="86"/>
  <c r="L381" i="86" s="1"/>
  <c r="M381" i="86" s="1"/>
  <c r="N381" i="86" s="1"/>
  <c r="O381" i="86" s="1"/>
  <c r="P381" i="86" s="1"/>
  <c r="N372" i="86"/>
  <c r="P328" i="86"/>
  <c r="P327" i="86"/>
  <c r="P342" i="86" s="1"/>
  <c r="P344" i="86" s="1"/>
  <c r="G235" i="86"/>
  <c r="H235" i="86" s="1"/>
  <c r="I235" i="86" s="1"/>
  <c r="J235" i="86" s="1"/>
  <c r="K235" i="86" s="1"/>
  <c r="L235" i="86" s="1"/>
  <c r="M235" i="86" s="1"/>
  <c r="N235" i="86" s="1"/>
  <c r="O235" i="86" s="1"/>
  <c r="P235" i="86" s="1"/>
  <c r="D182" i="86"/>
  <c r="E182" i="86" s="1"/>
  <c r="F182" i="86" s="1"/>
  <c r="G182" i="86" s="1"/>
  <c r="H182" i="86" s="1"/>
  <c r="I182" i="86" s="1"/>
  <c r="J182" i="86" s="1"/>
  <c r="K182" i="86" s="1"/>
  <c r="L182" i="86" s="1"/>
  <c r="M182" i="86" s="1"/>
  <c r="N182" i="86" s="1"/>
  <c r="O182" i="86" s="1"/>
  <c r="P182" i="86" s="1"/>
  <c r="P174" i="86"/>
  <c r="P550" i="86"/>
  <c r="P305" i="86"/>
  <c r="D313" i="86"/>
  <c r="E313" i="86" s="1"/>
  <c r="F313" i="86" s="1"/>
  <c r="G313" i="86" s="1"/>
  <c r="H313" i="86" s="1"/>
  <c r="I313" i="86" s="1"/>
  <c r="J313" i="86" s="1"/>
  <c r="K313" i="86" s="1"/>
  <c r="L313" i="86" s="1"/>
  <c r="M313" i="86" s="1"/>
  <c r="N313" i="86" s="1"/>
  <c r="O313" i="86" s="1"/>
  <c r="P313" i="86" s="1"/>
  <c r="F128" i="86"/>
  <c r="G128" i="86" s="1"/>
  <c r="H128" i="86" s="1"/>
  <c r="I128" i="86" s="1"/>
  <c r="J128" i="86" s="1"/>
  <c r="K128" i="86" s="1"/>
  <c r="L128" i="86" s="1"/>
  <c r="M128" i="86" s="1"/>
  <c r="N128" i="86" s="1"/>
  <c r="O128" i="86" s="1"/>
  <c r="P128" i="86" s="1"/>
  <c r="H95" i="86"/>
  <c r="I95" i="86" s="1"/>
  <c r="J95" i="86" s="1"/>
  <c r="K95" i="86" s="1"/>
  <c r="L95" i="86" s="1"/>
  <c r="M95" i="86" s="1"/>
  <c r="N95" i="86" s="1"/>
  <c r="O95" i="86" s="1"/>
  <c r="P95" i="86" s="1"/>
  <c r="P52" i="86"/>
  <c r="D62" i="86"/>
  <c r="E62" i="86" s="1"/>
  <c r="F62" i="86" s="1"/>
  <c r="G62" i="86" s="1"/>
  <c r="H62" i="86" s="1"/>
  <c r="I62" i="86" s="1"/>
  <c r="J62" i="86" s="1"/>
  <c r="K62" i="86" s="1"/>
  <c r="L62" i="86" s="1"/>
  <c r="M62" i="86" s="1"/>
  <c r="N62" i="86" s="1"/>
  <c r="O62" i="86" s="1"/>
  <c r="P62" i="86" s="1"/>
  <c r="P23" i="86"/>
  <c r="F97" i="86"/>
  <c r="G97" i="86" s="1"/>
  <c r="H97" i="86" s="1"/>
  <c r="I97" i="86" s="1"/>
  <c r="J97" i="86" s="1"/>
  <c r="K97" i="86" s="1"/>
  <c r="L97" i="86" s="1"/>
  <c r="M97" i="86" s="1"/>
  <c r="N97" i="86" s="1"/>
  <c r="O97" i="86" s="1"/>
  <c r="P97" i="86" s="1"/>
  <c r="P83" i="86"/>
  <c r="G40" i="79"/>
  <c r="P14" i="47"/>
  <c r="P16" i="47"/>
  <c r="I305" i="38"/>
  <c r="D354" i="65" s="1"/>
  <c r="H354" i="65" s="1"/>
  <c r="G354" i="65" s="1"/>
  <c r="N41" i="50"/>
  <c r="Z32" i="49"/>
  <c r="R16" i="47"/>
  <c r="R14" i="47"/>
  <c r="V37" i="49" s="1"/>
  <c r="E357" i="31"/>
  <c r="E360" i="31" s="1"/>
  <c r="E362" i="31" s="1"/>
  <c r="E437" i="31"/>
  <c r="E440" i="31" s="1"/>
  <c r="E442" i="31" s="1"/>
  <c r="E519" i="31" s="1"/>
  <c r="T41" i="49"/>
  <c r="G357" i="31"/>
  <c r="G360" i="31" s="1"/>
  <c r="H496" i="65"/>
  <c r="H499" i="65" s="1"/>
  <c r="E578" i="65"/>
  <c r="F357" i="31"/>
  <c r="F360" i="31" s="1"/>
  <c r="F362" i="31" s="1"/>
  <c r="I46" i="85"/>
  <c r="F12" i="23" s="1"/>
  <c r="F442" i="31"/>
  <c r="G11" i="31" l="1"/>
  <c r="H252" i="31"/>
  <c r="A625" i="65"/>
  <c r="A626" i="65" s="1"/>
  <c r="A627" i="65" s="1"/>
  <c r="A628" i="65" s="1"/>
  <c r="A629" i="65" s="1"/>
  <c r="A630" i="65" s="1"/>
  <c r="A631" i="65" s="1"/>
  <c r="A632" i="65" s="1"/>
  <c r="A634" i="65" s="1"/>
  <c r="A637" i="65" s="1"/>
  <c r="A638" i="65" s="1"/>
  <c r="A639" i="65" s="1"/>
  <c r="A640" i="65" s="1"/>
  <c r="A641" i="65" s="1"/>
  <c r="A643" i="65" s="1"/>
  <c r="A644" i="65" s="1"/>
  <c r="A645" i="65" s="1"/>
  <c r="A646" i="65" s="1"/>
  <c r="A647" i="65" s="1"/>
  <c r="A648" i="65" s="1"/>
  <c r="A328" i="38"/>
  <c r="A329" i="38" s="1"/>
  <c r="A330" i="38" s="1"/>
  <c r="A331" i="38" s="1"/>
  <c r="A332" i="38" s="1"/>
  <c r="A464" i="65"/>
  <c r="A465" i="65" s="1"/>
  <c r="A466" i="65" s="1"/>
  <c r="A467" i="65" s="1"/>
  <c r="A468" i="65" s="1"/>
  <c r="A469" i="65" s="1"/>
  <c r="A470" i="65" s="1"/>
  <c r="A471" i="65" s="1"/>
  <c r="A472" i="65" s="1"/>
  <c r="A473" i="65" s="1"/>
  <c r="A474" i="65" s="1"/>
  <c r="A475" i="65" s="1"/>
  <c r="A476" i="65" s="1"/>
  <c r="A477" i="65" s="1"/>
  <c r="A478" i="65" s="1"/>
  <c r="A479" i="65" s="1"/>
  <c r="A480" i="65" s="1"/>
  <c r="A481" i="65" s="1"/>
  <c r="A483" i="65" s="1"/>
  <c r="A484" i="65" s="1"/>
  <c r="A485" i="65" s="1"/>
  <c r="A486" i="65" s="1"/>
  <c r="A487" i="65" s="1"/>
  <c r="A488" i="65" s="1"/>
  <c r="A490" i="65" s="1"/>
  <c r="A491" i="65" s="1"/>
  <c r="A492" i="65" s="1"/>
  <c r="A493" i="65" s="1"/>
  <c r="A494" i="65" s="1"/>
  <c r="A496" i="65" s="1"/>
  <c r="A497" i="65" s="1"/>
  <c r="A498" i="65" s="1"/>
  <c r="A499" i="65" s="1"/>
  <c r="A500" i="65" s="1"/>
  <c r="A501" i="65" s="1"/>
  <c r="A387" i="65"/>
  <c r="A388" i="65" s="1"/>
  <c r="A389" i="65" s="1"/>
  <c r="A390" i="65" s="1"/>
  <c r="A391" i="65" s="1"/>
  <c r="A506" i="31"/>
  <c r="A509" i="31" s="1"/>
  <c r="A510" i="31" s="1"/>
  <c r="A511" i="31" s="1"/>
  <c r="A512" i="31" s="1"/>
  <c r="A513" i="31" s="1"/>
  <c r="A515" i="31" s="1"/>
  <c r="A516" i="31" s="1"/>
  <c r="A517" i="31" s="1"/>
  <c r="A518" i="31" s="1"/>
  <c r="A519" i="31" s="1"/>
  <c r="A520" i="31" s="1"/>
  <c r="A304" i="31"/>
  <c r="A305" i="31" s="1"/>
  <c r="A306" i="31" s="1"/>
  <c r="A307" i="31" s="1"/>
  <c r="A308" i="31" s="1"/>
  <c r="A309" i="31" s="1"/>
  <c r="A310" i="31" s="1"/>
  <c r="A311" i="31" s="1"/>
  <c r="A312" i="31" s="1"/>
  <c r="A313" i="31" s="1"/>
  <c r="A314" i="31" s="1"/>
  <c r="A315" i="31" s="1"/>
  <c r="A316" i="31" s="1"/>
  <c r="A317" i="31" s="1"/>
  <c r="A318" i="31" s="1"/>
  <c r="A319" i="31" s="1"/>
  <c r="A320" i="31" s="1"/>
  <c r="A321" i="31" s="1"/>
  <c r="A322" i="31" s="1"/>
  <c r="A323" i="31" s="1"/>
  <c r="A324" i="31" s="1"/>
  <c r="A325" i="31" s="1"/>
  <c r="A326" i="31" s="1"/>
  <c r="A327" i="31" s="1"/>
  <c r="A328" i="31" s="1"/>
  <c r="A329" i="31" s="1"/>
  <c r="A330" i="31" s="1"/>
  <c r="A331" i="31" s="1"/>
  <c r="A332" i="31" s="1"/>
  <c r="A334" i="31" s="1"/>
  <c r="K12" i="53"/>
  <c r="L12" i="53" s="1"/>
  <c r="N12" i="53" s="1"/>
  <c r="E13" i="53"/>
  <c r="F13" i="53" s="1"/>
  <c r="G13" i="53" s="1"/>
  <c r="H13" i="53" s="1"/>
  <c r="I13" i="53" s="1"/>
  <c r="J13" i="53" s="1"/>
  <c r="K13" i="53" s="1"/>
  <c r="L13" i="53" s="1"/>
  <c r="N13" i="53" s="1"/>
  <c r="A133" i="42"/>
  <c r="A422" i="42"/>
  <c r="A423" i="42" s="1"/>
  <c r="A424" i="42" s="1"/>
  <c r="A425" i="42" s="1"/>
  <c r="A426" i="42" s="1"/>
  <c r="A427" i="42" s="1"/>
  <c r="A428" i="42" s="1"/>
  <c r="A429" i="42" s="1"/>
  <c r="A430" i="42" s="1"/>
  <c r="A431" i="42" s="1"/>
  <c r="A432" i="42" s="1"/>
  <c r="L16" i="47"/>
  <c r="AB24" i="49" s="1"/>
  <c r="P24" i="50"/>
  <c r="T24" i="50" s="1"/>
  <c r="P23" i="50"/>
  <c r="T23" i="50" s="1"/>
  <c r="H16" i="47"/>
  <c r="K14" i="47"/>
  <c r="V21" i="49" s="1"/>
  <c r="AB21" i="49" s="1"/>
  <c r="R21" i="50" s="1"/>
  <c r="V32" i="49"/>
  <c r="AB32" i="49" s="1"/>
  <c r="R32" i="50" s="1"/>
  <c r="V22" i="49"/>
  <c r="AB22" i="49" s="1"/>
  <c r="R22" i="50" s="1"/>
  <c r="V31" i="49"/>
  <c r="AB31" i="49" s="1"/>
  <c r="R31" i="50" s="1"/>
  <c r="AB37" i="49"/>
  <c r="R37" i="50" s="1"/>
  <c r="V33" i="49"/>
  <c r="AB33" i="49" s="1"/>
  <c r="C51" i="12"/>
  <c r="D58" i="12"/>
  <c r="G26" i="84"/>
  <c r="I25" i="30"/>
  <c r="J23" i="30" s="1"/>
  <c r="G47" i="18"/>
  <c r="F7" i="18" s="1"/>
  <c r="G18" i="21"/>
  <c r="C5" i="21" s="1"/>
  <c r="G31" i="21"/>
  <c r="C7" i="21" s="1"/>
  <c r="C52" i="12"/>
  <c r="D89" i="18"/>
  <c r="F6" i="21"/>
  <c r="A201" i="42"/>
  <c r="G226" i="31"/>
  <c r="E520" i="31"/>
  <c r="E559" i="31" s="1"/>
  <c r="E560" i="31" s="1"/>
  <c r="G682" i="65"/>
  <c r="G685" i="65" s="1"/>
  <c r="G35" i="12"/>
  <c r="G34" i="18"/>
  <c r="F5" i="18" s="1"/>
  <c r="J21" i="30"/>
  <c r="J24" i="30"/>
  <c r="J22" i="30"/>
  <c r="D16" i="47"/>
  <c r="P37" i="50"/>
  <c r="P36" i="50"/>
  <c r="T36" i="50" s="1"/>
  <c r="P39" i="50"/>
  <c r="T39" i="50" s="1"/>
  <c r="P38" i="50"/>
  <c r="T38" i="50" s="1"/>
  <c r="P31" i="50"/>
  <c r="P32" i="50"/>
  <c r="P33" i="50"/>
  <c r="P28" i="50"/>
  <c r="T28" i="50" s="1"/>
  <c r="P27" i="50"/>
  <c r="T27" i="50" s="1"/>
  <c r="P16" i="50"/>
  <c r="P15" i="50"/>
  <c r="T15" i="50" s="1"/>
  <c r="P19" i="50"/>
  <c r="T19" i="50" s="1"/>
  <c r="P22" i="50"/>
  <c r="P14" i="50"/>
  <c r="T14" i="50" s="1"/>
  <c r="P21" i="50"/>
  <c r="P20" i="50"/>
  <c r="T20" i="50" s="1"/>
  <c r="P18" i="50"/>
  <c r="T18" i="50" s="1"/>
  <c r="P17" i="50"/>
  <c r="T17" i="50" s="1"/>
  <c r="P41" i="49"/>
  <c r="Z41" i="49"/>
  <c r="F14" i="47"/>
  <c r="V16" i="49" s="1"/>
  <c r="AB16" i="49" s="1"/>
  <c r="R16" i="50" s="1"/>
  <c r="F16" i="47"/>
  <c r="P346" i="86"/>
  <c r="P348" i="86" s="1"/>
  <c r="F64" i="34"/>
  <c r="F65" i="34" s="1"/>
  <c r="E64" i="34"/>
  <c r="E65" i="34" s="1"/>
  <c r="D64" i="34"/>
  <c r="D65" i="34" s="1"/>
  <c r="F14" i="23"/>
  <c r="D30" i="84"/>
  <c r="G28" i="84"/>
  <c r="G30" i="84" s="1"/>
  <c r="A242" i="65"/>
  <c r="A122" i="65"/>
  <c r="A62" i="65"/>
  <c r="A362" i="65" s="1"/>
  <c r="A610" i="65"/>
  <c r="A407" i="65"/>
  <c r="A650" i="65"/>
  <c r="A302" i="65"/>
  <c r="A445" i="65"/>
  <c r="A182" i="65"/>
  <c r="A580" i="65"/>
  <c r="A503" i="65"/>
  <c r="E499" i="65"/>
  <c r="E501" i="65" s="1"/>
  <c r="F50" i="79"/>
  <c r="G50" i="79" s="1"/>
  <c r="F48" i="79"/>
  <c r="G48" i="79" s="1"/>
  <c r="F47" i="79"/>
  <c r="G47" i="79" s="1"/>
  <c r="A295" i="31"/>
  <c r="A254" i="31"/>
  <c r="A52" i="31"/>
  <c r="A217" i="31" s="1"/>
  <c r="A364" i="31"/>
  <c r="A444" i="31"/>
  <c r="A161" i="31"/>
  <c r="A494" i="31"/>
  <c r="A102" i="31"/>
  <c r="A522" i="31"/>
  <c r="G496" i="65"/>
  <c r="G499" i="65" s="1"/>
  <c r="G252" i="31" l="1"/>
  <c r="A335" i="31"/>
  <c r="A336" i="31" s="1"/>
  <c r="A337" i="31" s="1"/>
  <c r="A338" i="31" s="1"/>
  <c r="A339" i="31" s="1"/>
  <c r="A340" i="31" s="1"/>
  <c r="A341" i="31" s="1"/>
  <c r="A342" i="31" s="1"/>
  <c r="A343" i="31" s="1"/>
  <c r="A344" i="31" s="1"/>
  <c r="A345" i="31" s="1"/>
  <c r="A346" i="31" s="1"/>
  <c r="A347" i="31" s="1"/>
  <c r="A348" i="31" s="1"/>
  <c r="A349" i="31" s="1"/>
  <c r="A350" i="31" s="1"/>
  <c r="A351" i="31" s="1"/>
  <c r="A352" i="31" s="1"/>
  <c r="A353" i="31" s="1"/>
  <c r="A354" i="31" s="1"/>
  <c r="A355" i="31" s="1"/>
  <c r="A357" i="31" s="1"/>
  <c r="A358" i="31" s="1"/>
  <c r="A359" i="31" s="1"/>
  <c r="A360" i="31" s="1"/>
  <c r="A361" i="31" s="1"/>
  <c r="A362" i="31" s="1"/>
  <c r="E14" i="53"/>
  <c r="F14" i="53" s="1"/>
  <c r="A460" i="42"/>
  <c r="A461" i="42" s="1"/>
  <c r="A462" i="42" s="1"/>
  <c r="A463" i="42" s="1"/>
  <c r="A464" i="42" s="1"/>
  <c r="A465" i="42" s="1"/>
  <c r="A467" i="42" s="1"/>
  <c r="A440" i="42"/>
  <c r="A441" i="42" s="1"/>
  <c r="A442" i="42" s="1"/>
  <c r="A443" i="42" s="1"/>
  <c r="A444" i="42" s="1"/>
  <c r="A445" i="42" s="1"/>
  <c r="A446" i="42" s="1"/>
  <c r="A447" i="42" s="1"/>
  <c r="T37" i="50"/>
  <c r="T32" i="50"/>
  <c r="T16" i="50"/>
  <c r="T33" i="50"/>
  <c r="T21" i="50"/>
  <c r="T22" i="50"/>
  <c r="T31" i="50"/>
  <c r="G32" i="84"/>
  <c r="F7" i="84" s="1"/>
  <c r="F9" i="84" s="1"/>
  <c r="G65" i="34"/>
  <c r="C8" i="21"/>
  <c r="D5" i="21" s="1"/>
  <c r="E34" i="12"/>
  <c r="I252" i="31"/>
  <c r="D34" i="12" s="1"/>
  <c r="F15" i="12"/>
  <c r="F51" i="18"/>
  <c r="H361" i="31"/>
  <c r="H500" i="65"/>
  <c r="G88" i="18"/>
  <c r="J25" i="30"/>
  <c r="G51" i="79"/>
  <c r="G49" i="79"/>
  <c r="G105" i="18" s="1"/>
  <c r="G9" i="34"/>
  <c r="G10" i="34" s="1"/>
  <c r="G15" i="34"/>
  <c r="G16" i="34" s="1"/>
  <c r="P41" i="50"/>
  <c r="G14" i="53"/>
  <c r="H14" i="53" s="1"/>
  <c r="I14" i="53" s="1"/>
  <c r="J14" i="53" s="1"/>
  <c r="T41" i="50" l="1"/>
  <c r="E5" i="21" s="1"/>
  <c r="F5" i="21" s="1"/>
  <c r="D7" i="21"/>
  <c r="F7" i="21" s="1"/>
  <c r="G34" i="12"/>
  <c r="F86" i="18"/>
  <c r="G86" i="18" s="1"/>
  <c r="F80" i="18"/>
  <c r="G80" i="18" s="1"/>
  <c r="F52" i="18"/>
  <c r="G52" i="18" s="1"/>
  <c r="F64" i="18"/>
  <c r="G64" i="18" s="1"/>
  <c r="G66" i="18" s="1"/>
  <c r="F12" i="18" s="1"/>
  <c r="F7" i="23" s="1"/>
  <c r="F83" i="18"/>
  <c r="G83" i="18" s="1"/>
  <c r="F85" i="18"/>
  <c r="G85" i="18" s="1"/>
  <c r="G51" i="18"/>
  <c r="F84" i="18"/>
  <c r="G84" i="18" s="1"/>
  <c r="F87" i="18"/>
  <c r="G87" i="18" s="1"/>
  <c r="F65" i="18"/>
  <c r="G65" i="18" s="1"/>
  <c r="F53" i="18"/>
  <c r="G53" i="18" s="1"/>
  <c r="F81" i="18"/>
  <c r="G81" i="18" s="1"/>
  <c r="F82" i="18"/>
  <c r="G82" i="18" s="1"/>
  <c r="H501" i="65"/>
  <c r="H577" i="65"/>
  <c r="H517" i="65"/>
  <c r="H518" i="65" s="1"/>
  <c r="H362" i="31"/>
  <c r="H441" i="31"/>
  <c r="H378" i="31"/>
  <c r="H379" i="31" s="1"/>
  <c r="F28" i="12"/>
  <c r="G28" i="12" s="1"/>
  <c r="F27" i="12"/>
  <c r="G27" i="12" s="1"/>
  <c r="F16" i="12"/>
  <c r="G16" i="12" s="1"/>
  <c r="G15" i="12"/>
  <c r="K14" i="53"/>
  <c r="L14" i="53" s="1"/>
  <c r="N14" i="53" s="1"/>
  <c r="E15" i="53"/>
  <c r="F15" i="53" s="1"/>
  <c r="G18" i="34"/>
  <c r="F11" i="23" s="1"/>
  <c r="F8" i="21" l="1"/>
  <c r="D94" i="18" s="1"/>
  <c r="G54" i="18"/>
  <c r="F9" i="18" s="1"/>
  <c r="F6" i="23" s="1"/>
  <c r="G29" i="12"/>
  <c r="I11" i="30" s="1"/>
  <c r="C49" i="12"/>
  <c r="C53" i="12" s="1"/>
  <c r="D55" i="12" s="1"/>
  <c r="G22" i="12"/>
  <c r="H578" i="65"/>
  <c r="H647" i="65"/>
  <c r="H519" i="31"/>
  <c r="H442" i="31"/>
  <c r="G15" i="53"/>
  <c r="H15" i="53" s="1"/>
  <c r="I15" i="53" s="1"/>
  <c r="J15" i="53" s="1"/>
  <c r="F6" i="12" l="1"/>
  <c r="H686" i="65"/>
  <c r="H687" i="65" s="1"/>
  <c r="H648" i="65"/>
  <c r="H520" i="31"/>
  <c r="H559" i="31"/>
  <c r="H560" i="31" s="1"/>
  <c r="F5" i="12"/>
  <c r="I10" i="30"/>
  <c r="I12" i="30" s="1"/>
  <c r="I18" i="30" s="1"/>
  <c r="F111" i="18" s="1"/>
  <c r="G111" i="18" s="1"/>
  <c r="G104" i="18" s="1"/>
  <c r="I5" i="30"/>
  <c r="I7" i="30" s="1"/>
  <c r="K15" i="53"/>
  <c r="L15" i="53" s="1"/>
  <c r="N15" i="53" s="1"/>
  <c r="E16" i="53"/>
  <c r="F16" i="53" s="1"/>
  <c r="G361" i="31" l="1"/>
  <c r="F65" i="12"/>
  <c r="F72" i="18"/>
  <c r="G16" i="53"/>
  <c r="H16" i="53" s="1"/>
  <c r="I16" i="53" s="1"/>
  <c r="J16" i="53" s="1"/>
  <c r="F73" i="18" l="1"/>
  <c r="G73" i="18" s="1"/>
  <c r="F75" i="18"/>
  <c r="G75" i="18" s="1"/>
  <c r="F76" i="18"/>
  <c r="G76" i="18" s="1"/>
  <c r="F74" i="18"/>
  <c r="G74" i="18" s="1"/>
  <c r="G72" i="18"/>
  <c r="G77" i="18" s="1"/>
  <c r="G89" i="18" s="1"/>
  <c r="F14" i="18" s="1"/>
  <c r="F8" i="23" s="1"/>
  <c r="F74" i="12"/>
  <c r="G74" i="12" s="1"/>
  <c r="G65" i="12"/>
  <c r="F71" i="12"/>
  <c r="G71" i="12" s="1"/>
  <c r="F68" i="12"/>
  <c r="G68" i="12" s="1"/>
  <c r="G441" i="31"/>
  <c r="G378" i="31"/>
  <c r="G379" i="31" s="1"/>
  <c r="I379" i="31" s="1"/>
  <c r="D38" i="12" s="1"/>
  <c r="G362" i="31"/>
  <c r="I362" i="31" s="1"/>
  <c r="D37" i="12" s="1"/>
  <c r="K16" i="53"/>
  <c r="L16" i="53" s="1"/>
  <c r="N16" i="53" s="1"/>
  <c r="E17" i="53"/>
  <c r="F17" i="53" s="1"/>
  <c r="D56" i="12" l="1"/>
  <c r="G519" i="31"/>
  <c r="G442" i="31"/>
  <c r="I442" i="31" s="1"/>
  <c r="D39" i="12" s="1"/>
  <c r="D59" i="12"/>
  <c r="G17" i="53"/>
  <c r="H17" i="53" s="1"/>
  <c r="I17" i="53" s="1"/>
  <c r="J17" i="53" s="1"/>
  <c r="G559" i="31" l="1"/>
  <c r="G560" i="31" s="1"/>
  <c r="I560" i="31" s="1"/>
  <c r="D41" i="12" s="1"/>
  <c r="G500" i="65"/>
  <c r="G520" i="31"/>
  <c r="I520" i="31" s="1"/>
  <c r="D40" i="12" s="1"/>
  <c r="D61" i="12"/>
  <c r="F8" i="12" s="1"/>
  <c r="E18" i="53"/>
  <c r="F18" i="53" s="1"/>
  <c r="K17" i="53"/>
  <c r="L17" i="53" s="1"/>
  <c r="N17" i="53" s="1"/>
  <c r="D42" i="12" l="1"/>
  <c r="G517" i="65"/>
  <c r="G518" i="65" s="1"/>
  <c r="I518" i="65" s="1"/>
  <c r="E38" i="12" s="1"/>
  <c r="G38" i="12" s="1"/>
  <c r="G577" i="65"/>
  <c r="G501" i="65"/>
  <c r="I501" i="65" s="1"/>
  <c r="E37" i="12" s="1"/>
  <c r="G18" i="53"/>
  <c r="H18" i="53" s="1"/>
  <c r="I18" i="53" s="1"/>
  <c r="J18" i="53" s="1"/>
  <c r="G37" i="12" l="1"/>
  <c r="G578" i="65"/>
  <c r="I578" i="65" s="1"/>
  <c r="E39" i="12" s="1"/>
  <c r="G39" i="12" s="1"/>
  <c r="G647" i="65"/>
  <c r="K18" i="53"/>
  <c r="L18" i="53" s="1"/>
  <c r="N18" i="53" s="1"/>
  <c r="E19" i="53"/>
  <c r="F19" i="53" s="1"/>
  <c r="G686" i="65" l="1"/>
  <c r="G687" i="65" s="1"/>
  <c r="I687" i="65" s="1"/>
  <c r="E41" i="12" s="1"/>
  <c r="G41" i="12" s="1"/>
  <c r="G648" i="65"/>
  <c r="I648" i="65" s="1"/>
  <c r="E40" i="12" s="1"/>
  <c r="G40" i="12" s="1"/>
  <c r="G19" i="53"/>
  <c r="H19" i="53" s="1"/>
  <c r="I19" i="53" s="1"/>
  <c r="J19" i="53"/>
  <c r="G42" i="12" l="1"/>
  <c r="F7" i="12" s="1"/>
  <c r="F9" i="12" s="1"/>
  <c r="F5" i="23" s="1"/>
  <c r="E42" i="12"/>
  <c r="K19" i="53"/>
  <c r="L19" i="53" s="1"/>
  <c r="N19" i="53" s="1"/>
  <c r="E20" i="53"/>
  <c r="F20" i="53" s="1"/>
  <c r="G103" i="18" l="1"/>
  <c r="G107" i="18" s="1"/>
  <c r="F16" i="18" s="1"/>
  <c r="F9" i="23" s="1"/>
  <c r="F10" i="23" s="1"/>
  <c r="F13" i="23" s="1"/>
  <c r="G20" i="53"/>
  <c r="H20" i="53" s="1"/>
  <c r="I20" i="53" s="1"/>
  <c r="J20" i="53" s="1"/>
  <c r="D26" i="53" l="1"/>
  <c r="B27" i="53"/>
  <c r="D27" i="53" s="1"/>
  <c r="F15" i="23"/>
  <c r="D25" i="53"/>
  <c r="E21" i="53"/>
  <c r="F21" i="53" s="1"/>
  <c r="K20" i="53"/>
  <c r="L20" i="53" s="1"/>
  <c r="N20" i="53" s="1"/>
  <c r="G21" i="53" l="1"/>
  <c r="H21" i="53" s="1"/>
  <c r="I21" i="53" s="1"/>
  <c r="J21" i="53" s="1"/>
  <c r="E22" i="53" l="1"/>
  <c r="F22" i="53" s="1"/>
  <c r="K21" i="53"/>
  <c r="L21" i="53" s="1"/>
  <c r="N21" i="53" s="1"/>
  <c r="G22" i="53" l="1"/>
  <c r="H22" i="53" s="1"/>
  <c r="I22" i="53" s="1"/>
  <c r="J22" i="53" s="1"/>
  <c r="K22" i="53" l="1"/>
  <c r="L22" i="53" s="1"/>
  <c r="N22" i="53" s="1"/>
  <c r="E23" i="53"/>
  <c r="F23" i="53" s="1"/>
  <c r="G23" i="53" l="1"/>
  <c r="H23" i="53" s="1"/>
  <c r="I23" i="53" s="1"/>
  <c r="J23" i="53" s="1"/>
  <c r="E24" i="53" l="1"/>
  <c r="F24" i="53" s="1"/>
  <c r="K23" i="53"/>
  <c r="L23" i="53" s="1"/>
  <c r="N23" i="53" s="1"/>
  <c r="G24" i="53" l="1"/>
  <c r="H24" i="53" s="1"/>
  <c r="I24" i="53" s="1"/>
  <c r="J24" i="53" s="1"/>
  <c r="K24" i="53" l="1"/>
  <c r="L24" i="53" s="1"/>
  <c r="N24" i="53" s="1"/>
  <c r="E25" i="53"/>
  <c r="F25" i="53" s="1"/>
  <c r="G25" i="53" s="1"/>
  <c r="H25" i="53" s="1"/>
  <c r="I25" i="53" s="1"/>
  <c r="J25" i="53" s="1"/>
  <c r="E26" i="53" s="1"/>
  <c r="F26" i="53" s="1"/>
  <c r="G26" i="53" s="1"/>
  <c r="H26" i="53" s="1"/>
  <c r="K25" i="53" l="1"/>
  <c r="L25" i="53" s="1"/>
  <c r="N25" i="53" s="1"/>
  <c r="I26" i="53" l="1"/>
  <c r="J26" i="53" s="1"/>
  <c r="E27" i="53" s="1"/>
  <c r="F27" i="53" s="1"/>
  <c r="G27" i="53" s="1"/>
  <c r="H27" i="53" s="1"/>
  <c r="K26" i="53" l="1"/>
  <c r="L26" i="53" s="1"/>
  <c r="N26" i="53" s="1"/>
  <c r="I27" i="53" l="1"/>
  <c r="J27" i="53" s="1"/>
  <c r="K27" i="53" l="1"/>
  <c r="L27" i="53" s="1"/>
  <c r="N27" i="53" s="1"/>
  <c r="F16"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lk04218</author>
  </authors>
  <commentList>
    <comment ref="D9" authorId="0" shapeId="0" xr:uid="{0C70A8EF-CFF3-471D-A9A9-82099FEF5440}">
      <text>
        <r>
          <rPr>
            <sz val="9"/>
            <color indexed="81"/>
            <rFont val="Tahoma"/>
            <family val="2"/>
          </rPr>
          <t xml:space="preserve">Current year beginning 06/01/2021 based on 2020 data. </t>
        </r>
      </text>
    </comment>
    <comment ref="D11" authorId="0" shapeId="0" xr:uid="{9E59A65F-62F7-4F4D-9ED4-77B6F7FEBDD4}">
      <text>
        <r>
          <rPr>
            <sz val="9"/>
            <color indexed="81"/>
            <rFont val="Tahoma"/>
            <family val="2"/>
          </rPr>
          <t xml:space="preserve">Current year beginning 06/01/2022 based on 2021 data. </t>
        </r>
      </text>
    </comment>
    <comment ref="D37" authorId="0" shapeId="0" xr:uid="{7AD07845-46D4-4E59-A364-F0FE2BEF0F61}">
      <text>
        <r>
          <rPr>
            <sz val="9"/>
            <color indexed="81"/>
            <rFont val="Tahoma"/>
            <family val="2"/>
          </rPr>
          <t xml:space="preserve">Current year beginning 06/01/2023 based on 2022 data. </t>
        </r>
      </text>
    </comment>
    <comment ref="D39" authorId="0" shapeId="0" xr:uid="{3B64D0CD-EB25-410F-974F-3733D7F8BA5C}">
      <text>
        <r>
          <rPr>
            <sz val="9"/>
            <color indexed="81"/>
            <rFont val="Tahoma"/>
            <family val="2"/>
          </rPr>
          <t xml:space="preserve">Current year beginning 06/01/2023 based on 2022 data. </t>
        </r>
      </text>
    </comment>
    <comment ref="D41" authorId="0" shapeId="0" xr:uid="{36E6D15E-6939-44DF-990A-6401106DD603}">
      <text>
        <r>
          <rPr>
            <sz val="9"/>
            <color indexed="81"/>
            <rFont val="Tahoma"/>
            <family val="2"/>
          </rPr>
          <t xml:space="preserve">Current year beginning 06/01/2021 based on 2020 data. </t>
        </r>
      </text>
    </comment>
    <comment ref="D43" authorId="0" shapeId="0" xr:uid="{944D35A3-49A2-4C2A-9645-AF09A0892408}">
      <text>
        <r>
          <rPr>
            <sz val="9"/>
            <color indexed="81"/>
            <rFont val="Tahoma"/>
            <family val="2"/>
          </rPr>
          <t xml:space="preserve">Current year beginning 06/01/2023 based on 2022 data.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AN79045</author>
    <author>Westar Energy</author>
  </authors>
  <commentList>
    <comment ref="D9" authorId="0" shapeId="0" xr:uid="{00000000-0006-0000-2200-000001000000}">
      <text>
        <r>
          <rPr>
            <b/>
            <sz val="9"/>
            <color indexed="81"/>
            <rFont val="Tahoma"/>
            <family val="2"/>
          </rPr>
          <t>AN79045:</t>
        </r>
        <r>
          <rPr>
            <sz val="9"/>
            <color indexed="81"/>
            <rFont val="Tahoma"/>
            <family val="2"/>
          </rPr>
          <t xml:space="preserve">
$250mm issued March 1, 2012
$300mm issued May 17, 2012</t>
        </r>
      </text>
    </comment>
    <comment ref="E9" authorId="1" shapeId="0" xr:uid="{00000000-0006-0000-2200-000002000000}">
      <text>
        <r>
          <rPr>
            <b/>
            <sz val="9"/>
            <color indexed="81"/>
            <rFont val="Tahoma"/>
            <family val="2"/>
          </rPr>
          <t>Westar Energy:</t>
        </r>
        <r>
          <rPr>
            <sz val="9"/>
            <color indexed="81"/>
            <rFont val="Tahoma"/>
            <family val="2"/>
          </rPr>
          <t xml:space="preserve">
$250mm issued 3/28/13
$180mm issued 5/19/2014
</t>
        </r>
      </text>
    </comment>
  </commentList>
</comments>
</file>

<file path=xl/sharedStrings.xml><?xml version="1.0" encoding="utf-8"?>
<sst xmlns="http://schemas.openxmlformats.org/spreadsheetml/2006/main" count="7850" uniqueCount="3667">
  <si>
    <t xml:space="preserve">     *ADITC = Accum. Def. Invest. Tax Credit [Wk. R]</t>
  </si>
  <si>
    <t>[Wk. C]</t>
  </si>
  <si>
    <t xml:space="preserve">Contract work for L5 Lower Slope and Seal Trough Replacement - This project is for the replacement of the horizontal portion of the lower slope above the bottom ash hoppers.  This project would also include new seal skirt and drip screens. </t>
  </si>
  <si>
    <t>LEC0802645</t>
  </si>
  <si>
    <t>L4 LTSH REPLACEMENT</t>
  </si>
  <si>
    <t>Contract work for L4 Low Temperature Superheater Replacement - This project is for the complete replacement of the Low Temperature Superheater in LEC4.  The LTSH is at the end of its useful life.  Not replacing this component will lead to more forced outages on Unit 4.</t>
  </si>
  <si>
    <t>LEC0803059</t>
  </si>
  <si>
    <t>INSTALLATION OF A CONTAINMENT SYSTEM</t>
  </si>
  <si>
    <t>Contract work for the Installation of a Containment System - This project is for the Installation of a Containment System and Double Walled Piping for the Emergency Generator and Diesel Fire Pump is required to meet Environmental Regulations.  This is new equipment that has not previously been installed at the plant.</t>
  </si>
  <si>
    <t>LEC0803658</t>
  </si>
  <si>
    <t>2008 MISC SAFETY PROJECT</t>
  </si>
  <si>
    <t>LEC0804393</t>
  </si>
  <si>
    <t>L3 CIRC WATER LINE REPL</t>
  </si>
  <si>
    <t>Contract work for J3 Circulating Water Discharge Pipe Upgrade and Replacement - On 02/06/07 the circulating water line ruptured between the condenser and the cooling tower on Unit 3.  Failure was caused by Hydrogen Embrittlement and corrosion of the high tensil steel wire within the concrete pipe.  This project includes inspection, eddy current testing and replacement of up to three, 20 foot sections of the original concrete pipe with upgraded steel piping.  Additionally, some banding will likely be required at less severely damaged locations.</t>
  </si>
  <si>
    <t>Total Account 501</t>
  </si>
  <si>
    <t>Identifier</t>
  </si>
  <si>
    <t>DEMAND CHARGE DIVISOR AND ENERGY</t>
  </si>
  <si>
    <t xml:space="preserve">   B)  Energy (MWh)</t>
  </si>
  <si>
    <t>VOM Energy (Energy less VOM Energy Credit)</t>
  </si>
  <si>
    <t>VOM</t>
  </si>
  <si>
    <t>DEMAND CHARGE CALCULATION</t>
  </si>
  <si>
    <t>DEMAND RELATED O &amp; M EXPENSES</t>
  </si>
  <si>
    <t xml:space="preserve">        Total</t>
  </si>
  <si>
    <t>ITEM 6 - WEIGHTED COST OF CAPITAL</t>
  </si>
  <si>
    <t xml:space="preserve"> [ to Item 3, Footnote 3 ]</t>
  </si>
  <si>
    <t xml:space="preserve"> [Item 3, Footnote 3 ]</t>
  </si>
  <si>
    <t>Contract work for Jcom 3a/3b Conveyor Idler Replacement - This project covers the need to reduce unplanned idler roller replacement.  Some of the conveyor idlers are coming close to 30 years of service.  Old idlers are known to lock up and wear against the conveyor belt.</t>
  </si>
  <si>
    <t>JEC0812008</t>
  </si>
  <si>
    <t>JCOM PLANT LIGHTING UPGRADE</t>
  </si>
  <si>
    <t>J2 LOW NOX AND SOFA UPGRADE PHASE 1</t>
  </si>
  <si>
    <t>N CASCADE DUST CLTR CREW CONVEYOR</t>
  </si>
  <si>
    <t>Contract work for the replacement of both screw conveyors with new housings on the North Cascade Conveyor.</t>
  </si>
  <si>
    <t xml:space="preserve"> 7009236</t>
  </si>
  <si>
    <t>SOFTWARE FOR LC COMMON</t>
  </si>
  <si>
    <t>To purchase and install CHECWORKS software for use in predicting where areas of piping failures are most likely to occur.</t>
  </si>
  <si>
    <t xml:space="preserve"> 7009244</t>
  </si>
  <si>
    <t>CONVEYOR GUARDS</t>
  </si>
  <si>
    <t>Contract work to install OSHA compliant guards on conveyors.</t>
  </si>
  <si>
    <t xml:space="preserve"> 7009272</t>
  </si>
  <si>
    <t>CONV 8, 9 PLUS 2A AG BELT REPLACEMENT</t>
  </si>
  <si>
    <t>Contract work for the L5 Condenser Water Box Upgrades - Replace existing condenser inlet/outlet and return water boxes.  Coat the existing tube sheet with epoxy.  Add sacrificial anodes to the water boxes.  Replace liners in inlet and outlet valves and expansion joints.</t>
  </si>
  <si>
    <t>SCRUBBER UPGRADES</t>
  </si>
  <si>
    <t>Contract work for the Scrubber Upgrades - The L3 fly ash handling system will be replaced to provide transport of fly ash collected in the ESP to the new fly ash silos being constructed in the Baghouse and AQCS Upgrade project.  This work order includes the engineering, procurement, and construction of the project.</t>
  </si>
  <si>
    <t xml:space="preserve">Contract work for the L4 Scrubber Upgrades - This project includes the engineering, procurement, and construction of a baghouse (fabric filter) on L4 to control particulate emissions and upgrade the FGD scrubber as required.  </t>
  </si>
  <si>
    <t>Contract work to continue LEC-Ash Handling/Landfill Upgrade - Continued construction efforts to fulfill all required activities necessary to construct the ash site at LEC.  This project includes removal of existing structures, engineering project management support, landfill area Stage 1, closure of Existing Ash Site and permit compliance.</t>
  </si>
  <si>
    <t>A30062</t>
  </si>
  <si>
    <t>LEC0704585</t>
  </si>
  <si>
    <t>LCOM BOILER CHEMISTRY MONITORING</t>
  </si>
  <si>
    <t>Contract work for L0 Boiler Chemistry Monitoring Upgrades - This project is to improve the plant's ability to monitor the boiler process water chemistry.  The project includes the purchase and installation of a new sample conditioning system for L3 and several new boiler and turbine chemistry analyzers.</t>
  </si>
  <si>
    <t>LEC0710069</t>
  </si>
  <si>
    <t>L4 SCRUBBER UPGRADES</t>
  </si>
  <si>
    <t>Contract work for L4 Scrubber Upgrades - Perform preliminary engineering studies and develop a Project Definition Report to define the L4 Baghouse addition and FGD scrubber upgrades project.</t>
  </si>
  <si>
    <t>JEC1 LOW NOX &amp; SOFA UPGRADE PHASE 1</t>
  </si>
  <si>
    <t>J2 BOILER CIRCULATING PUMP FILTERS</t>
  </si>
  <si>
    <t>J3 BOILER  CIRCULATING PUMPS</t>
  </si>
  <si>
    <t>J2 HRH ACOUSTIC INSPECTION SYSTEM</t>
  </si>
  <si>
    <t>J3 INTELLIGENT SOOTBLOWERS UPGRADE</t>
  </si>
  <si>
    <t>Contract work for J3 Intelligent Sootblowers Retract Upgrade - Replace the old existing 3R, 4R, 5R, 6R, 7R, 8AR, 8BR, 9R, 10BR, 11R retracts, as well as the 3L, 4L, 5L, 6L, 7L, 8AL, 8BL, 9L, 10BL, 11L retracts.  The new retracts will be Clyde-Bergemann intelligent blowers with variable speed travel and rotation.</t>
  </si>
  <si>
    <t>Accumulated Deferred Income Tax Accelerated Amortization Property</t>
  </si>
  <si>
    <t xml:space="preserve">     a. Ancillary Service Rate ($/MW-Yr.)</t>
  </si>
  <si>
    <t xml:space="preserve">J3 ESP Rebuild Phase 1 - J3 left side gas outlet duct support bracing shield installation.  Contract work to clean and a clamshell type shield installed over numerous support struts for both erosion resistance and to assist in structural support.  </t>
  </si>
  <si>
    <t>J3 ESP Rebuild Phase 1 - Contract work for the engineering, design, and procurement of the materials and equipment necessary for the rebuild of the Unit 3 Electrostatic Precipitator at the Jeffrey Energy Center.</t>
  </si>
  <si>
    <t>JEC0819882</t>
  </si>
  <si>
    <t xml:space="preserve">Contract work for the JEC 123 FGD Upgrade - As part of the Flue Gas Desulfurization System Rebuild project, the dewatering building separates the gypsum byproduct of the scrubber process from the water.  Contract work includes the engineering, procurement, and construction of the dewatering building.  JEC Common, the Flue Gas Desulfurization System (FGD) on Jeffrey Units 1, 2, 3 need to have major upgrades and modifications in order to remove 95% of the SO2.  This FGD upgrade will also help in mercury removal.  This project will require new agitators, ball mill system, vacuum filters, primary dewatering, material handling, tanks and slurry pumps.  </t>
  </si>
  <si>
    <t>JEC0820631</t>
  </si>
  <si>
    <t>ETAPRO CONTINUOUS PERFORMANCE MONITOR</t>
  </si>
  <si>
    <t>Continuous Performance Monitoring System - Purchase and install the EtaPro Continuous Performance Monitor for JEC Units 1, 2, and 3.</t>
  </si>
  <si>
    <t>LEC01807601</t>
  </si>
  <si>
    <t>LEC01807602</t>
  </si>
  <si>
    <t>LEC01807603</t>
  </si>
  <si>
    <t>JEC01802402</t>
  </si>
  <si>
    <t>JEC01805401</t>
  </si>
  <si>
    <t>M08170 - CSS Software</t>
  </si>
  <si>
    <t>Engineering services for the JEC Unit 3 FGD.  See JEC0605973 for more information.</t>
  </si>
  <si>
    <t>WCNOC - Automated Performance Monitoring</t>
  </si>
  <si>
    <t>WCNOC - EIS Software upgrade</t>
  </si>
  <si>
    <t>WCNOC - Asset Suite Software</t>
  </si>
  <si>
    <t>WCNOC - Workforce Software</t>
  </si>
  <si>
    <t xml:space="preserve">CSS </t>
  </si>
  <si>
    <t>Balance 4471000</t>
  </si>
  <si>
    <t>Total OSSM</t>
  </si>
  <si>
    <t>Energy (MWh)</t>
  </si>
  <si>
    <t>Revenue ($)</t>
  </si>
  <si>
    <t>ESWS INTL PIPE CTG/ACS VAULTS &amp; PIPE</t>
  </si>
  <si>
    <t>YTM BOND</t>
  </si>
  <si>
    <t>WORKSHEET C, ALLOCATION RATIOS</t>
  </si>
  <si>
    <t>Note to Energy Charge</t>
  </si>
  <si>
    <t>The dollar amount of contract buyout cost amortization calculated in accordance with the On-Going Benefits Test outlined below.</t>
  </si>
  <si>
    <t>OSSM  =</t>
  </si>
  <si>
    <t>C         =</t>
  </si>
  <si>
    <t>S         =</t>
  </si>
  <si>
    <t>Q        =</t>
  </si>
  <si>
    <t>Day &amp; Time</t>
  </si>
  <si>
    <t xml:space="preserve"> =WCLDT</t>
  </si>
  <si>
    <t xml:space="preserve"> =R</t>
  </si>
  <si>
    <r>
      <t xml:space="preserve">Energy Charge  =    VOM    +    </t>
    </r>
    <r>
      <rPr>
        <u/>
        <sz val="12"/>
        <rFont val="Times New Roman"/>
        <family val="1"/>
      </rPr>
      <t>F + P + NI + Q + C</t>
    </r>
    <r>
      <rPr>
        <sz val="12"/>
        <rFont val="Times New Roman"/>
        <family val="1"/>
      </rPr>
      <t xml:space="preserve">    -    OSSM</t>
    </r>
  </si>
  <si>
    <t xml:space="preserve">                                              S</t>
  </si>
  <si>
    <t xml:space="preserve">Average amount outstanding for each issuance is the average daily, monthly (13 monthly balances for a year with 12/31 of prior year as 1st balance) or quarterly (5 quarter balances) outstanding balances for the test year, with zero in periods that the issuance is </t>
  </si>
  <si>
    <t>not outstanding in the period day, month, or quarter, as applicable.</t>
  </si>
  <si>
    <t>Environmental</t>
  </si>
  <si>
    <t>Book accrual for environmental reserve vs. actual costs for tax</t>
  </si>
  <si>
    <t>Vacation Pay Accrual</t>
  </si>
  <si>
    <t>Accrued vacation pay per books vs. vacations paid within 2 1/2 months of year end for tax</t>
  </si>
  <si>
    <t>Legal Expenses</t>
  </si>
  <si>
    <r>
      <t xml:space="preserve">The Energy Charge shall be determined monthly according to the method described in the </t>
    </r>
    <r>
      <rPr>
        <u/>
        <sz val="12"/>
        <rFont val="Times New Roman"/>
        <family val="1"/>
      </rPr>
      <t>ENERGY CHARGE</t>
    </r>
    <r>
      <rPr>
        <sz val="12"/>
        <rFont val="Times New Roman"/>
        <family val="1"/>
      </rPr>
      <t xml:space="preserve"> section below.</t>
    </r>
  </si>
  <si>
    <r>
      <t xml:space="preserve">The Applicable Taxes shall be determined as set forth in the </t>
    </r>
    <r>
      <rPr>
        <u/>
        <sz val="12"/>
        <rFont val="Times New Roman"/>
        <family val="1"/>
      </rPr>
      <t>APPLICABLE TAXES</t>
    </r>
    <r>
      <rPr>
        <sz val="12"/>
        <rFont val="Times New Roman"/>
        <family val="1"/>
      </rPr>
      <t xml:space="preserve"> section below.</t>
    </r>
  </si>
  <si>
    <t>Where:</t>
  </si>
  <si>
    <t>J2 NEW FLY ASH CONVEYING SYSTEM</t>
  </si>
  <si>
    <t>J1 &amp; J3 ELECTROSTATIC PRECIPITATOR REBUILD PH1</t>
  </si>
  <si>
    <t>JCOM COAL FIRE PROTECTION</t>
  </si>
  <si>
    <t>Notes:</t>
  </si>
  <si>
    <t>YEAR ENDED</t>
  </si>
  <si>
    <t>t=N</t>
  </si>
  <si>
    <t>(a)</t>
  </si>
  <si>
    <t>(b)</t>
  </si>
  <si>
    <t>(c)</t>
  </si>
  <si>
    <t>Recoverable</t>
  </si>
  <si>
    <t>JEC2 SCRUBBERS, ENGINEER</t>
  </si>
  <si>
    <t>JEC3 SCRUBBERS, ENGINEER</t>
  </si>
  <si>
    <t>JEC COMMON - ENG SERV FOR DESIGN/UPGR FGD FACILITIES</t>
  </si>
  <si>
    <t>JEC2 SCRUBBERS, DESIGN AND</t>
  </si>
  <si>
    <t>J2 FLY ASH SYSTEM REPLACEMENT</t>
  </si>
  <si>
    <t>JEC1 ELECTROSTATIC PRECIPITATOR REBUILD PH 1</t>
  </si>
  <si>
    <t>JEC2 ELECTROSTATIC PRECIPITATOR REBUILD PH 1</t>
  </si>
  <si>
    <t>JEC3 CIRC WATER PIPE</t>
  </si>
  <si>
    <t>JEC0704873</t>
  </si>
  <si>
    <t>JCOM REBUILD #22 DEEPWELL</t>
  </si>
  <si>
    <t>Contract work for J3 Circulating Water Discharge Pipe Upgrade and Replacement - On 02/06/07 the circulating water line ruptured between the condenser and the cooling tower on Unit 3.  Failure was caused by Hydrogen Embrittlement and corrosion of the high tensile steel wire within the concrete pipe.  This project includes inspection, eddy current testing and replacement of up to three, 20 foot sections of the original concrete pipe with upgraded steel piping.  Additionally, some banding will likely be required at less severely damaged locations.</t>
  </si>
  <si>
    <t>Contract work for the J2 ESP Rebuild Phase 1 - Rebuild of the Unit 2 Electricstatic precipitator, including materials and labor.</t>
  </si>
  <si>
    <t>Contract work to replace various 7 Kv breakers at LaCygne</t>
  </si>
  <si>
    <t>actuals and forecasted cashflows consistent with updated capital budgets and debt/equity infusions accepted by the lenders.  There will be a macro true-up of the loan cost subject to review and refund.</t>
  </si>
  <si>
    <t>Contract work to continue TCOM Landfill Construction -  Project will involve the construction/raising the dike of the bottom and fly ash landfill, drainage ditches, and constructing final cover and final seeding.  This work is necessary to comply with the revised permit documents for this landfill.</t>
  </si>
  <si>
    <t>TEC0804719</t>
  </si>
  <si>
    <t>HILTI GRATING GUN PURCHASE FOR GRATING FASTENERS</t>
  </si>
  <si>
    <t>Hilti Grating Gun purchase for grating fasteners - Purchase Hilti Grating tool model DX460-GR powder actuated tool.</t>
  </si>
  <si>
    <t>LEC0801112</t>
  </si>
  <si>
    <t>LEC-ASH HANDLING/LANDFILL UPGRD</t>
  </si>
  <si>
    <t>PIPE HANGER REPLACEMENT</t>
  </si>
  <si>
    <t>Selective replacement of the main steam and hot reheat pipe hangers on LaCygne Unit 1.</t>
  </si>
  <si>
    <t xml:space="preserve"> 7103199</t>
  </si>
  <si>
    <t>FURNACE WALL AND FLOOR REPLACEMENT</t>
  </si>
  <si>
    <r>
      <t>1</t>
    </r>
    <r>
      <rPr>
        <sz val="12"/>
        <rFont val="Times New Roman"/>
        <family val="1"/>
      </rPr>
      <t xml:space="preserve"> PBOPs amounts are booked to Account No. 926, except Workers Compensation, which is booked to Account 925. The</t>
    </r>
  </si>
  <si>
    <t>ENVIRONMENTAL INSTRUMENTATION</t>
  </si>
  <si>
    <t>Contract work for the replacement of 18 cyclones, burners, re-entrant throats, and corresponding water wall tubing.</t>
  </si>
  <si>
    <t xml:space="preserve"> 7103196</t>
  </si>
  <si>
    <t>Contract work for J3 Boiler Circulating Pumps - Install filters in the motor cooling loop for each BCP (301, 302, 303, 304).  Pipe is under up to 3,000 psi of pressure.  Temperature could reach as high as 700 deg. F in a worst case excursion.  Pipe is all P22 (2 1/4 chrome) schedule 160.  1" purge lines also need to be piped up.  Filters will need a vent and a differential pressure transmitter installed and ran to the DCS.  Clean pressure drop of filters should not be more than 4 psid.</t>
  </si>
  <si>
    <t>JEC0716993</t>
  </si>
  <si>
    <t>REPLACE THE DELUGE VALVE &amp; CONTROL PANEL</t>
  </si>
  <si>
    <t>Contract work to replace the deluge valve and control panel on the Unit 1 and 2 Reserve Transformer fire protection system.</t>
  </si>
  <si>
    <t>JEC0719212</t>
  </si>
  <si>
    <t>J1 INTELLIGENT SOOTBLOWERS UPGRADE</t>
  </si>
  <si>
    <t>Jcom Coal Fire Protection - Upgrade of the fire protection systems on 1A, 1B, 3A, 3B, 1A Track hopper feeder, 1B track hopper feeder, and #4 Dust Collector.</t>
  </si>
  <si>
    <t>JEC0801636</t>
  </si>
  <si>
    <t>J3 FLY ASH SYSTEM REPLACEMENT</t>
  </si>
  <si>
    <t xml:space="preserve">Contract work for the J3 Fly Ash System Replacement - This project involves the replacement of the existing system (vacuum powered with hydroveyors) with a system that employs a set of air slides that are connected directly to the bottoms of each fly ash hopper.  These air slides are sloped at a 6 degree angle and have a polyester woven fabric in them on which the fly ash drops.  The system will be transporting fly ash continually and will employ very few moving parts (unlike the present system).  The new system will require a new type of vent filter on the fly ash silo.  </t>
  </si>
  <si>
    <t xml:space="preserve">The consent decree requires Westar to construct a baghouse (fabric filter) to control particulate emissions and upgrade the FGD scrubbers on Unit 4 &amp; 5.  Upgrading the FGD scrubbers requires additional limestone capacity.  This work order includes the engineering, procurement, and construction of the project. </t>
  </si>
  <si>
    <t>THE CONSENT DECREE REQUIRES  LEC COMMON BAGHOUSE &amp; SCRUBBER UPGRADES.</t>
  </si>
  <si>
    <t>E2 BOILER FLOOR REFRACTORY REPLACEMENT</t>
  </si>
  <si>
    <t>Contract work for the E2 Boiler Floor Refractory Replacement - This project includes Boiler Archway Floor Tube Ceramic Coating, and Floor Tube Repair, Removal of Debris from E2 Deflection Arch (Boiler Nose) and Boiler Floor.  Contractor to install new refractory.</t>
  </si>
  <si>
    <t>EEC0804390</t>
  </si>
  <si>
    <t>SCARPELLI E2 ECONOMIZER ADJUSTABLE SUPPORT INSTALLATION</t>
  </si>
  <si>
    <t>Contract work for J3 ESP Rebuild Phase 1 - This project requests funds to perform the first phase of the rebuild of J3 electrostatic precipitator at the Jeffrey Energy Center.</t>
  </si>
  <si>
    <t>Bad Debts</t>
  </si>
  <si>
    <t>Injuries and Damages</t>
  </si>
  <si>
    <t>CHANGE LEVEL SWITCHES ON DETERGENT</t>
  </si>
  <si>
    <t>WCNOC - Change level switches on detergent drain tank.</t>
  </si>
  <si>
    <t>WCNOC - ESWS Intl Pipe CTG/ACS Vaults &amp; Pipe SPS system.</t>
  </si>
  <si>
    <t>SNUBBER REDUCTION USING LIMITED STOP</t>
  </si>
  <si>
    <t>WCNOC - Snubber reduction using limited stop.</t>
  </si>
  <si>
    <t>QF EMERGENCY POWER SUPPLY</t>
  </si>
  <si>
    <t>WCNOC - QF Emergency power supply.</t>
  </si>
  <si>
    <t>HIGH/LOW TDS FLOWMETER</t>
  </si>
  <si>
    <t>WCNOC - High/low TDS flowmeter.</t>
  </si>
  <si>
    <t>TURBINE/TURBINE GENERATOR STUDY</t>
  </si>
  <si>
    <t>BIOCIDE LOW PRESSURE NEAT FEED TO SW/CW</t>
  </si>
  <si>
    <t>CAN01A&amp;B REPLACEMENTS</t>
  </si>
  <si>
    <t>CAMERA ADDITION FOR SAF OUTSIDE ISO</t>
  </si>
  <si>
    <t>DCS CONVERSION OF SECONDARY PLANT</t>
  </si>
  <si>
    <t>SUPERVISORY SYSTEM REPLACEMENT</t>
  </si>
  <si>
    <t>WCNOC Reactor Building - Replacement of degraded feedwater (AE) check valve(s).</t>
  </si>
  <si>
    <t>WCNOC Reactor Building - Reactor head vessel forging.</t>
  </si>
  <si>
    <t>WCNOC Reactor Building - Replace actuator on valve #EPHV8879C.</t>
  </si>
  <si>
    <t>WCNOC Control Building - Seimic monitoring system replacement.</t>
  </si>
  <si>
    <t>WCNOC Control Building - Load shedder and emergency load sequencer (LSELS) replacement.</t>
  </si>
  <si>
    <t>WCNOC Control Building - Obsolete part - replace existing valves in plant heating system with new model.</t>
  </si>
  <si>
    <t>WCNOC Control Building - XNB01/XNB02 replacement.</t>
  </si>
  <si>
    <t>WCNOC Control Building - Replace 2 1/2" valve #CEV00019.</t>
  </si>
  <si>
    <t>WCNOC Control Building - Replace check valve #LBV0001.</t>
  </si>
  <si>
    <t>L5 BAGHOUSE AND SCRUBBER UPGRADES</t>
  </si>
  <si>
    <t>CP - Wind</t>
  </si>
  <si>
    <t>FR - Wind</t>
  </si>
  <si>
    <t>The estimated energy to be delivered to all customers during the Billing Month, equal to the sum of estimated net kWh generated, plus kWh purchased, less kWh of off-system sales associated with NI.</t>
  </si>
  <si>
    <t xml:space="preserve">    Less:  CWIP AFUDC Offset</t>
  </si>
  <si>
    <t>Contract work to purchase and install G4 Generator Monitoring Equipment - These are required as part of a fleet wide partial discharge monitoring program that allows for surveillance and diagnosis of generator winding problems.</t>
  </si>
  <si>
    <r>
      <t>1</t>
    </r>
    <r>
      <rPr>
        <sz val="12"/>
        <rFont val="Times New Roman"/>
        <family val="1"/>
      </rPr>
      <t xml:space="preserve"> Contract Year in which the error first affected rates paid by customers.</t>
    </r>
  </si>
  <si>
    <r>
      <t xml:space="preserve">Interest </t>
    </r>
    <r>
      <rPr>
        <u/>
        <vertAlign val="superscript"/>
        <sz val="12"/>
        <rFont val="Times New Roman"/>
        <family val="1"/>
      </rPr>
      <t>2</t>
    </r>
  </si>
  <si>
    <r>
      <t xml:space="preserve">Year </t>
    </r>
    <r>
      <rPr>
        <u/>
        <vertAlign val="superscript"/>
        <sz val="12"/>
        <rFont val="Times New Roman"/>
        <family val="1"/>
      </rPr>
      <t>1</t>
    </r>
  </si>
  <si>
    <t xml:space="preserve">     Account 501 [Wk. N, col. a &amp; d]</t>
  </si>
  <si>
    <t xml:space="preserve">     Less: Account 501 [Wk. N, col. b &amp; e]</t>
  </si>
  <si>
    <t>Account 221 [Form 1, pg. 112, ln. 18, col. c]</t>
  </si>
  <si>
    <t xml:space="preserve">  Less: Account 222 [Form 1, pg. 112, ln. 19, col. c]</t>
  </si>
  <si>
    <t>Account 224 [Form 1, pg. 112, ln. 21, col. c]</t>
  </si>
  <si>
    <r>
      <t>3.  VOM Revenue Requirement (ln. 1  -  ln. 2)</t>
    </r>
    <r>
      <rPr>
        <sz val="10"/>
        <rFont val="Arial"/>
        <family val="2"/>
      </rPr>
      <t/>
    </r>
  </si>
  <si>
    <t>4.  VOM Energy (MWh) [ Wk. D, B) ]</t>
  </si>
  <si>
    <t xml:space="preserve">5.  VOM, $/MWh (ln. 3 / ln. 4 ) [Item 1, para. 2] </t>
  </si>
  <si>
    <t>6.  OSSM Amount [ Wk. V ]</t>
  </si>
  <si>
    <t>7.  Energy (MWh) [ Wk. D, B) ]</t>
  </si>
  <si>
    <t>8.  OSSM, $/MWh (ln. 6 / ln. 7) [Item 1, para. 2]</t>
  </si>
  <si>
    <r>
      <t xml:space="preserve">1.  VOM Cost </t>
    </r>
    <r>
      <rPr>
        <vertAlign val="superscript"/>
        <sz val="14"/>
        <rFont val="Times New Roman"/>
        <family val="1"/>
      </rPr>
      <t>1</t>
    </r>
  </si>
  <si>
    <t xml:space="preserve">     Account 555 [Item 4, Footnote 3]</t>
  </si>
  <si>
    <t xml:space="preserve">     Less: Account 555, Dem. Charges [Item 4, Footnote 3]</t>
  </si>
  <si>
    <t xml:space="preserve">     Sum of Accounts 510 through 513 [Item 4, Footnote 1]</t>
  </si>
  <si>
    <t xml:space="preserve">     Sum of Accounts 528 through 531 [Item 4, Footnote 1]</t>
  </si>
  <si>
    <r>
      <t>1</t>
    </r>
    <r>
      <rPr>
        <u/>
        <sz val="12"/>
        <rFont val="Times New Roman"/>
        <family val="1"/>
      </rPr>
      <t xml:space="preserve"> Long Term Debt</t>
    </r>
    <r>
      <rPr>
        <sz val="12"/>
        <rFont val="Times New Roman"/>
        <family val="1"/>
      </rPr>
      <t xml:space="preserve"> [Form 1, pg. 112, lns. 18 - 21, col. c]</t>
    </r>
  </si>
  <si>
    <r>
      <t xml:space="preserve">Ratio </t>
    </r>
    <r>
      <rPr>
        <vertAlign val="superscript"/>
        <sz val="14"/>
        <rFont val="Times New Roman"/>
        <family val="1"/>
      </rPr>
      <t>4</t>
    </r>
  </si>
  <si>
    <r>
      <t xml:space="preserve">Cost </t>
    </r>
    <r>
      <rPr>
        <vertAlign val="superscript"/>
        <sz val="14"/>
        <rFont val="Times New Roman"/>
        <family val="1"/>
      </rPr>
      <t>4</t>
    </r>
  </si>
  <si>
    <r>
      <t xml:space="preserve">Long Term Debt </t>
    </r>
    <r>
      <rPr>
        <vertAlign val="superscript"/>
        <sz val="14"/>
        <rFont val="Times New Roman"/>
        <family val="1"/>
      </rPr>
      <t>1</t>
    </r>
  </si>
  <si>
    <r>
      <t xml:space="preserve">Preferred Stock </t>
    </r>
    <r>
      <rPr>
        <vertAlign val="superscript"/>
        <sz val="14"/>
        <rFont val="Times New Roman"/>
        <family val="1"/>
      </rPr>
      <t>2</t>
    </r>
  </si>
  <si>
    <r>
      <t xml:space="preserve">Common Stock </t>
    </r>
    <r>
      <rPr>
        <vertAlign val="superscript"/>
        <sz val="14"/>
        <rFont val="Times New Roman"/>
        <family val="1"/>
      </rPr>
      <t>3</t>
    </r>
  </si>
  <si>
    <t xml:space="preserve">       Long Term Debt cost  =  Weighted Debt Cost.  [Wk. U]</t>
  </si>
  <si>
    <t>[Wk. F]</t>
  </si>
  <si>
    <t>[Wk. H]</t>
  </si>
  <si>
    <t xml:space="preserve">          Total Production Plant in Service /  Total Plant in Service   =   GP   =</t>
  </si>
  <si>
    <t xml:space="preserve">          Production Plant in Service  - Production Accumulated Depreciation  =  Prod. NP  =         </t>
  </si>
  <si>
    <t xml:space="preserve">          Total Plant in Service  -  Total Accumulated  Depreciation  =  Total NP  =   </t>
  </si>
  <si>
    <t xml:space="preserve">          Prod. NP  /  Total NP   =   NP   =  </t>
  </si>
  <si>
    <t xml:space="preserve">          Total Production Plant in Service [Gross Plant above]</t>
  </si>
  <si>
    <t xml:space="preserve">          Total Plant in Service [Gross Plant above]</t>
  </si>
  <si>
    <t>Contract work for the JEC Unit 2 FGD.  See JEC0605973 for more information.</t>
  </si>
  <si>
    <t>JEC0611677</t>
  </si>
  <si>
    <t>J1 HOT REHEAT PIPING INSPECTION</t>
  </si>
  <si>
    <t>Contract work for J1 Hot Reheat Piping Inspection.</t>
  </si>
  <si>
    <t xml:space="preserve">JEC0704873  </t>
  </si>
  <si>
    <t>J3 COAL SILO 301 BEAM SLOPING</t>
  </si>
  <si>
    <t>Contract work for J3 Coal Silo 301 Beam Sloping - Install studs and wire mesh on beams in upper half of Plan Hopper 301.  Then spray gunite to create a greater than 45 degree angle slope to prevent coal accumulation on beams.</t>
  </si>
  <si>
    <t>JEC0706539</t>
  </si>
  <si>
    <t>JCOM TRANSFER HOPPER 2 BEAM SLOPING</t>
  </si>
  <si>
    <t>Contract work for Jcom Transfer Hopper 2 Beam Sloping - Install studs and wire mesh on beams in upper half of Yard Hopper 2.  Then spray gunite to create a greater than 45 degree angle slope to prevent coal accumulation on beams.</t>
  </si>
  <si>
    <t>JEC0707476</t>
  </si>
  <si>
    <t>JCOM SIMULATOR HYBRID CONVERSION</t>
  </si>
  <si>
    <t xml:space="preserve">   Preferred Stock [Form 1, pg. 112, ln. 3, col. c] </t>
  </si>
  <si>
    <t xml:space="preserve">   Preferred Div. [Form 1, pg. 118, ln. 29, col. c] </t>
  </si>
  <si>
    <t xml:space="preserve">          Total Plant in Service [Form 1, pg. 207, ln. 104, col.g]</t>
  </si>
  <si>
    <t xml:space="preserve">          Production Accumulated Depreciation [Item 3, ln 2]</t>
  </si>
  <si>
    <t xml:space="preserve">          Total Production Plant in Service [Item 3, ln. 1]</t>
  </si>
  <si>
    <t xml:space="preserve">          Total Accumulated Depreciation [Form 1, pg. 219, ln. 29, col. c]</t>
  </si>
  <si>
    <t xml:space="preserve">          Prod. [Form 1, pg. 354, ln. 20, col. b]</t>
  </si>
  <si>
    <t xml:space="preserve">          Tran. [Form 1, pg. 354, ln. 21, col. b]</t>
  </si>
  <si>
    <t xml:space="preserve">          Dist. [Form 1, pg. 354, ln. 23, col. b]</t>
  </si>
  <si>
    <t>W-2 Wages</t>
  </si>
  <si>
    <t>Allowed</t>
  </si>
  <si>
    <t>Section 199</t>
  </si>
  <si>
    <t xml:space="preserve">of </t>
  </si>
  <si>
    <t>Deduction</t>
  </si>
  <si>
    <t>Consolidated Group</t>
  </si>
  <si>
    <t>QPAI</t>
  </si>
  <si>
    <t>Allocated</t>
  </si>
  <si>
    <t>Section 467 Railcar Lease</t>
  </si>
  <si>
    <t>Terminal Net Salvage - Refund</t>
  </si>
  <si>
    <t>Book accrual for CSS billings for retail energy in excess of retail fuel costs; not recognized for tax</t>
  </si>
  <si>
    <t xml:space="preserve">AFUDC recorded on books not subject to tax requirements for capitalization per Code Sec 263A.  </t>
  </si>
  <si>
    <t>Removal Costs</t>
  </si>
  <si>
    <t>Short Term Incentive</t>
  </si>
  <si>
    <t>Severance Benefit</t>
  </si>
  <si>
    <t>Contract work for J1 Low NOx and SOFA Upgrade (Phase I) - Low NOx burners and separated over fire air will be required to meet coming EPA air quality regulations.  The benefit of installing them now is the boiler furnace and boiler convection pass cleanliness and the ability to take advantage of a long outage in 2008 related to the scrubber project.  The benefit of boiler cleanliness is improved efficiency (small) and decreased slagging derates and decreased furnace pluggage outages for cleaning.</t>
  </si>
  <si>
    <t>JEC0806127</t>
  </si>
  <si>
    <t>J3 TVR TO DIGITAL VOLTAGE REGULATOR</t>
  </si>
  <si>
    <t>J3 TVR to Digital Voltage Regulator - Unit 3 Replace Thristor Voltage Regulator.  Retire original equipment for Unit #3, VY 1983.</t>
  </si>
  <si>
    <t>JEC0806734</t>
  </si>
  <si>
    <t>J3 RADIAL SEAL AND T-BAR REPLACEMENT</t>
  </si>
  <si>
    <t>Contract work for J3 Radial Seal and T-Bar Replacement - This project involves the changing of both the 301 and 302 RAH T-Bar and Radial Seals on the J3 air heaters due to both the age of the seals, as well as the current condition.</t>
  </si>
  <si>
    <t xml:space="preserve">   -                                                         -                                                               -</t>
  </si>
  <si>
    <t>General Tax - Reserve</t>
  </si>
  <si>
    <t>Long Term Rail Car Lease</t>
  </si>
  <si>
    <t>OSSM (OFF-SYSTEM SALES MARGINS) CALCULATION</t>
  </si>
  <si>
    <t>JEC01806001</t>
  </si>
  <si>
    <t>LAEC1 AQC HYDROCONE REPLACE</t>
  </si>
  <si>
    <t>Perform engineering study and replacement of the two hydroclones in the AQC.</t>
  </si>
  <si>
    <t xml:space="preserve"> 7103177</t>
  </si>
  <si>
    <t>7KV AND 480V BREAKERS</t>
  </si>
  <si>
    <t>Contract work to replace the failed 7 KV and 480 V electrical breakers as necessary.</t>
  </si>
  <si>
    <t xml:space="preserve"> 7103186</t>
  </si>
  <si>
    <t>LAEC1 FGD &amp; BAGHOUSE</t>
  </si>
  <si>
    <t>Engineering costs associated with the development, issue and award of the LaCygne Unit 1 FGD plus baghouse.</t>
  </si>
  <si>
    <t xml:space="preserve"> 7103194</t>
  </si>
  <si>
    <t>L1 HOT REHEAT STEAM LINE REPLACEMENT</t>
  </si>
  <si>
    <t>Engineering study for the hot reheat steam line future replacement.</t>
  </si>
  <si>
    <t xml:space="preserve"> 7103195</t>
  </si>
  <si>
    <t>CYCLONE REPLACEMENT</t>
  </si>
  <si>
    <r>
      <t>2</t>
    </r>
    <r>
      <rPr>
        <sz val="12"/>
        <rFont val="Times New Roman"/>
        <family val="1"/>
      </rPr>
      <t xml:space="preserve"> Each amount shall include interest based on Section 35.19(a) of the Commission's Regulations.</t>
    </r>
  </si>
  <si>
    <t>Contract work for Jcom Simulator Hybrid Conversion - JCOMM Simulator hybrid conversion and unit control coordination to bring simulator features in line with unit control additions of switchgear, SOFA, heater level controls, FGA, unit transmitter addition, and other improved logic configurations and tuning spec changes that are currently in our place in our operating units but have not been added to the JEC CRO training simulator.</t>
  </si>
  <si>
    <t>JEC0713521</t>
  </si>
  <si>
    <t>J3 BOILER CIRCULATING PUMPS</t>
  </si>
  <si>
    <r>
      <t xml:space="preserve">1.  Return  [ Item 3, ln. 5   x   Item 6, "R" ] </t>
    </r>
    <r>
      <rPr>
        <vertAlign val="superscript"/>
        <sz val="12"/>
        <rFont val="Times New Roman"/>
        <family val="1"/>
      </rPr>
      <t>1</t>
    </r>
  </si>
  <si>
    <t>EEC0800294</t>
  </si>
  <si>
    <t>GEEC SOUTH PLANT MISC TOOLS AND SMALL PROJECTS</t>
  </si>
  <si>
    <t xml:space="preserve">    Total Plant in Service</t>
  </si>
  <si>
    <t xml:space="preserve">    Total Accumulated Depreciation</t>
  </si>
  <si>
    <t xml:space="preserve">    Total Other Rate Base Items</t>
  </si>
  <si>
    <t>to Ratebase</t>
  </si>
  <si>
    <t>and Justification</t>
  </si>
  <si>
    <t>Accumulated Deferred Income Tax Utility Oper Other</t>
  </si>
  <si>
    <t>Form 1, pg 278, col. f</t>
  </si>
  <si>
    <t>Actual</t>
  </si>
  <si>
    <t>Form 1</t>
  </si>
  <si>
    <t>Rev. Req. Rate</t>
  </si>
  <si>
    <t xml:space="preserve">lesser of </t>
  </si>
  <si>
    <t>Data</t>
  </si>
  <si>
    <t>B  /  C  /  12</t>
  </si>
  <si>
    <t>D  or  E</t>
  </si>
  <si>
    <t>($000)</t>
  </si>
  <si>
    <t>($/kW-Mo.)</t>
  </si>
  <si>
    <t>($/kW)</t>
  </si>
  <si>
    <t>G  -  B</t>
  </si>
  <si>
    <t>FERC</t>
  </si>
  <si>
    <t>110% of</t>
  </si>
  <si>
    <t>J  x  1.10</t>
  </si>
  <si>
    <t>F  x  C  x  12</t>
  </si>
  <si>
    <t>F  +  I</t>
  </si>
  <si>
    <t>(J  x  C  x  12) - B</t>
  </si>
  <si>
    <r>
      <t>Divisor</t>
    </r>
    <r>
      <rPr>
        <b/>
        <vertAlign val="superscript"/>
        <sz val="10"/>
        <rFont val="Times New Roman"/>
        <family val="1"/>
      </rPr>
      <t>2</t>
    </r>
  </si>
  <si>
    <r>
      <t>Adjustment</t>
    </r>
    <r>
      <rPr>
        <b/>
        <vertAlign val="superscript"/>
        <sz val="10"/>
        <rFont val="Times New Roman"/>
        <family val="1"/>
      </rPr>
      <t>3</t>
    </r>
  </si>
  <si>
    <t>(kk)</t>
  </si>
  <si>
    <t>(ll)</t>
  </si>
  <si>
    <t>Coupon Annual</t>
  </si>
  <si>
    <t>Where all components are for the third month preceding the Billing Month and C’ is the C for the third month preceding the current Billing Month.</t>
  </si>
  <si>
    <t>Billing Month's Energy Charge.  If the Current Price is greater than the Contract Price, then the Monthly Amortization for buyout cost included in the Billing Month’s Energy Charge will be adjusted, subject to any net savings previously made available, so the Current Price equals the Contract Price on a $/MMBtu basis.  Any remaining unrecovered Monthly Amortization will be carried forward to be recovered in subsequent Billing Months in the event the Current Price is greater than the Contract Price.  In no event will the amortization be faster than the remaining life of the cancelled contract.  The calculation will be available to Customer for inspection and audit upon reasonable request during normal business hours.</t>
  </si>
  <si>
    <t>XNB01/XNB02 REPLACEMENT</t>
  </si>
  <si>
    <t>VELAN 3 INCH GATE VALVE CHANGES</t>
  </si>
  <si>
    <t>HIGH PRESSURE NITROGEN PRESSURE CONTROL</t>
  </si>
  <si>
    <t>WCNOC ESWS system - "B" ESW strainer change out.</t>
  </si>
  <si>
    <t>WCNOC ESW pumphouse &amp; chlorine building - Velan 3 inch gate valve changes.</t>
  </si>
  <si>
    <t>VIDEO RECORDING SYSTEM UPGRADE</t>
  </si>
  <si>
    <t>REPLACE AE CHECK VALVES IN CONTAINMENT</t>
  </si>
  <si>
    <t>EKJ06A/B REPLACEMENT HEAT EXCHANGER</t>
  </si>
  <si>
    <t>WCNOC D/G building - EKJ06A/B replacement heat exchangers.</t>
  </si>
  <si>
    <t>REPLACEMENT OF DEGRADED FEEDWATER</t>
  </si>
  <si>
    <t>XPB03 SECONDARY POWER CABLE REPLACEMENT</t>
  </si>
  <si>
    <t>S/G BLOWDOWN DISCHARGE PUMPS BYPASS</t>
  </si>
  <si>
    <t>PERMANENT PLATFORMS FOR POST FIRE</t>
  </si>
  <si>
    <t>UNIT 2 TEE ELIMINATION OF ESW BURIED</t>
  </si>
  <si>
    <t>WCNOC ESWS system - Unit 2 tee elimination of ESW buried piping.</t>
  </si>
  <si>
    <t>REPLACE AIR CONDITIONING (A/C) UNITS</t>
  </si>
  <si>
    <t>SECURITY BUILDING MATTING</t>
  </si>
  <si>
    <t>REPLACE PUMP SHAFT ON #1WM003PA</t>
  </si>
  <si>
    <t>REPLACE 4" CHECK VALVE, #KCV-478</t>
  </si>
  <si>
    <t>REACTOR HEAD VESSEL FORGING</t>
  </si>
  <si>
    <t>HOMELAND SECURITY MODIFICATION 2007</t>
  </si>
  <si>
    <t>SAFETY RELATED ROOM COOLER CHANGEOUT</t>
  </si>
  <si>
    <t>REPLACE VALVE KH7926</t>
  </si>
  <si>
    <t>REPLACE VALVE #BLV0021</t>
  </si>
  <si>
    <t>SIMULATOR COMPUTER UPGRADE</t>
  </si>
  <si>
    <t>ATOMS WELD SHOP VENTILATORS AND CONFINED</t>
  </si>
  <si>
    <t>WCNONC V05 pipe shop - Atoms weld shop ventilators and confined space sniffers and safety quick shut off table saw.</t>
  </si>
  <si>
    <t>REPLACE 2 1/2" VALVE, #CEV0019</t>
  </si>
  <si>
    <t>REPLACE ACTUATOR ON VALVE #EPHV8879C</t>
  </si>
  <si>
    <r>
      <t xml:space="preserve">2 </t>
    </r>
    <r>
      <rPr>
        <u/>
        <sz val="12"/>
        <rFont val="Times New Roman"/>
        <family val="1"/>
      </rPr>
      <t>Accumulated Depreciation</t>
    </r>
  </si>
  <si>
    <r>
      <t xml:space="preserve">4 </t>
    </r>
    <r>
      <rPr>
        <u/>
        <sz val="12"/>
        <rFont val="Times New Roman"/>
        <family val="1"/>
      </rPr>
      <t>Working Capital</t>
    </r>
  </si>
  <si>
    <t xml:space="preserve">   Cash Working Capital</t>
  </si>
  <si>
    <t xml:space="preserve">x 1/8  </t>
  </si>
  <si>
    <t>Prepmts. (Form 1, pg. 111, ln. 57, col. d &amp; c)</t>
  </si>
  <si>
    <t>Fuel Stk. (Form 1, pg. 110, ln. 45, col. d &amp; c)</t>
  </si>
  <si>
    <t>Cumulative Total</t>
  </si>
  <si>
    <r>
      <t>1</t>
    </r>
    <r>
      <rPr>
        <sz val="12"/>
        <rFont val="Times New Roman"/>
        <family val="1"/>
      </rPr>
      <t xml:space="preserve">  Collection of depreciation will end when the associated investment is retired; amortization amounts shall cease once the amount is fully amortized.</t>
    </r>
  </si>
  <si>
    <t xml:space="preserve">  is fully amortized.  These rates shall remain fixed and may change only pursuant to a Section 205 or 206 proceeding.</t>
  </si>
  <si>
    <t>J2 LOW NOX &amp; SOFA UPGRADE PH1</t>
  </si>
  <si>
    <t>Contract work for J2 Low NOx &amp; Sofa Upgrade Ph1 - J2 Low Nox Conversion which includes the addition of low NOx burners, SOFA air locations, a NeuralNet, as well as ETC and CADM systems from Foster-Wheeler.</t>
  </si>
  <si>
    <t>JEC0809051</t>
  </si>
  <si>
    <t>REPLACE TRANSFER BUILDING 1 WIRE ROPE HOIST</t>
  </si>
  <si>
    <t>Replace transfer building 1 wire rope hoist.</t>
  </si>
  <si>
    <t>JEC0810415</t>
  </si>
  <si>
    <t>PURCHASE ERGONOMIC CHAIRS</t>
  </si>
  <si>
    <t>Purchase Ergonomic Chairs</t>
  </si>
  <si>
    <t>JEC0810709</t>
  </si>
  <si>
    <t>JCOM DUMPER BUILDING HVAC IMPROVEMENTS</t>
  </si>
  <si>
    <t>Contract work for Jcom Dumper building HVAC Improvements - Retrofit to diminish the quantity of coal dust infiltrating specific areas.</t>
  </si>
  <si>
    <t>JEC0810728</t>
  </si>
  <si>
    <t>JCOM 3A/3B CONVEYOR IDLER REPLACEMENT</t>
  </si>
  <si>
    <t>G08424K - WCNOC - Intangible Misc.</t>
  </si>
  <si>
    <t>G08424Q - WCNOC - KEPL Transformer Addition</t>
  </si>
  <si>
    <t>G08424R - WCNOC - Electronic Management Ops Sys</t>
  </si>
  <si>
    <t>Contract work for JCom Rebuild #22 Deepwell - JEC deepwell #22 is marginally usable.  The well case has been cleaned chemically several times in the last few years.  The last time operations personnel tried to start it, it was pumping more air than water.  Water pumped from the river costs 7 cents more per 1000 gallons than does water from the wells.  This well is rated at 2400 gpm so the cost is $10 per ours less to pump water at this well's rate capacity than from our river allocated water supply. Monitoring of the ground table indicate the local water table has dropped 4 feet since these pumps were installed in the 1980's and this has contributed to a lower NPSH available to the pump.  With the river having changed course, water pumped from the well contained more silt, was warmer, and had increased in oxygen content.</t>
  </si>
  <si>
    <t>[Note 6]</t>
  </si>
  <si>
    <t>JEC0813049</t>
  </si>
  <si>
    <t>J3 REA ARC FLASH PROTECTION PROJECT</t>
  </si>
  <si>
    <t>-</t>
  </si>
  <si>
    <t xml:space="preserve"> Absent interim partial retirements or applications of G/L to active issuances that are not refunding issuances or FERC-approved intermittent hedge gains/losses, YTM at issuance also equals YTM in test year. </t>
  </si>
  <si>
    <t xml:space="preserve">Cost of removal charged to accumulated depreciation reserve for book purposes but expensed for tax </t>
  </si>
  <si>
    <t>Note:</t>
  </si>
  <si>
    <t>Generator Predictive Maintenance Pr. GEEC #1 - Purchase and install generator monitoring equipment.  These are required as part of a fleet wide partial discharge monitoring program that allows for surveillance and diagnosis of generator winding problems.</t>
  </si>
  <si>
    <t>EEC0600758</t>
  </si>
  <si>
    <t>Generator Predictive Maintenance Pr. GEEC #2 - Purchase and install generator monitoring equipment.  These are required as part of a fleet wide partial discharge monitoring program that allows for surveillance and diagnosis of generator winding problems.</t>
  </si>
  <si>
    <t>EEC0705347</t>
  </si>
  <si>
    <t xml:space="preserve">INSTALLATION OF ACCELEROMETERS   </t>
  </si>
  <si>
    <t>Contract work for the installation of accelerometers on GEEC E2 cooling tower.</t>
  </si>
  <si>
    <t>GEEC2 LP1 TURBINE BLADE REPLACEMENT</t>
  </si>
  <si>
    <t>EEC0800120</t>
  </si>
  <si>
    <t>GEEC E2 GENERATOR UPGRADE</t>
  </si>
  <si>
    <t xml:space="preserve">   filing, debt and equity caps shall be re-opened simultaneously.  The cost of each component shall be as follows:</t>
  </si>
  <si>
    <t>L  x  M</t>
  </si>
  <si>
    <t xml:space="preserve">Accrued book expense for lease payments vs actual lease payments for tax. </t>
  </si>
  <si>
    <t xml:space="preserve">Nuclear refueling expenses amortized on books vs. actual expenses deducted for tax.  </t>
  </si>
  <si>
    <t>Bond Premium/discount</t>
  </si>
  <si>
    <t>JEC SCRUBBERS</t>
  </si>
  <si>
    <t>JEC COM, FLUE GAS DESULFURIZATION</t>
  </si>
  <si>
    <t>Environmental Instrumentation - Temperature Application - Purchase and installation of a General Purpose Indicator, Thermostat house with integral Type-K thermocouple and cover for panel mounting.</t>
  </si>
  <si>
    <t>Book accrual railcar lease expense vs. prescribed costs for tax per IRC Sec 467</t>
  </si>
  <si>
    <t xml:space="preserve">   The procedure for determining the AFUDC credit is outlined in Attachment E, Section I, para.5, to the Agreement.</t>
  </si>
  <si>
    <t>Contract work for Emporia Energy Center Unit 5 Frame Combustion Turbine.  New combustion turbines are needed to meet the Company's anticipated generation capacity requirements.  This project includes procurement of a new frame combustion turbine and labor to install.</t>
  </si>
  <si>
    <t>902001</t>
  </si>
  <si>
    <t>Contract work for J3 Upgrade 6.9 Kv Switchgear to DCS - Unit 3 Switchgear relaying and control - convert to DCS installation.</t>
  </si>
  <si>
    <t>JCOM 6.9 KV BREAKER REMOTE RACKING JEC #1</t>
  </si>
  <si>
    <t>JCOM 6.9 KV BREAKER REMOTE RACKING JEC #3</t>
  </si>
  <si>
    <t>J2 LOW NOX &amp; SOFA UPGRD PH1</t>
  </si>
  <si>
    <t>Contract work for J2 Low NOx &amp; Sofa Upgrade Phase 1 - This project includes the addition of low NOx burners, SOFA air locations, a NeuralNet, as well as ETC and CADM systems from Foster-Wheeler.</t>
  </si>
  <si>
    <t>J2 COOLING TOWER SUS BUILDING AND SWITCHGEAR REPLACEMENT</t>
  </si>
  <si>
    <t>UNIT 3 - REPLACE THRISTOR VOLTAGE REGULATOR</t>
  </si>
  <si>
    <t>ERGONOMIC CHAIRS</t>
  </si>
  <si>
    <t>JCOM DUMPER BUILDING HVAC IMPR</t>
  </si>
  <si>
    <t>3B CONVEYOR IDLER REPLACEMENT</t>
  </si>
  <si>
    <t>JCOM FUEL YARD DUST SURFACTANT UPGR</t>
  </si>
  <si>
    <t>CONTINUOUS PERFORMANCE MONITORING SYSTEM</t>
  </si>
  <si>
    <t>A30042</t>
  </si>
  <si>
    <t>ENVIRONMENTAL INSTRUMENTS</t>
  </si>
  <si>
    <t>EEC0600757</t>
  </si>
  <si>
    <t>GENERATOR PREDICTIVE MAINTENANCE PR</t>
  </si>
  <si>
    <t>2.  Operation and Maintenance Expenses [ Item 4, ln. 6 ]</t>
  </si>
  <si>
    <t>3.  Depreciation Expenses [ Item 4, ln. 7 ]</t>
  </si>
  <si>
    <t>4.  Taxes, Other Than Income [ Item 4, ln. 8 ]</t>
  </si>
  <si>
    <t>5.  Income Tax [ Item 4, ln. 9 ]</t>
  </si>
  <si>
    <t>[ to Item 6 ]</t>
  </si>
  <si>
    <t>[to Item 5, ln. 6]</t>
  </si>
  <si>
    <t>10.  Divisor (MW) [ Wk. D, Demand Charge Divisor..., A) ]</t>
  </si>
  <si>
    <r>
      <t>Line No.</t>
    </r>
    <r>
      <rPr>
        <sz val="12"/>
        <rFont val="Times New Roman"/>
        <family val="1"/>
      </rPr>
      <t xml:space="preserve">                                    </t>
    </r>
    <r>
      <rPr>
        <u/>
        <sz val="12"/>
        <rFont val="Times New Roman"/>
        <family val="1"/>
      </rPr>
      <t>Applicable Tax</t>
    </r>
    <r>
      <rPr>
        <sz val="12"/>
        <rFont val="Times New Roman"/>
        <family val="1"/>
      </rPr>
      <t xml:space="preserve">                                          </t>
    </r>
    <r>
      <rPr>
        <u/>
        <sz val="12"/>
        <rFont val="Times New Roman"/>
        <family val="1"/>
      </rPr>
      <t>Rate or Amount</t>
    </r>
  </si>
  <si>
    <t xml:space="preserve">      [Actual (F+P+NI+Q+C’)] - [((F+P+NI+Q+C’) / S)  x  Actual S]</t>
  </si>
  <si>
    <t>TGO0700048</t>
  </si>
  <si>
    <t>TGO0700049</t>
  </si>
  <si>
    <t>EEC0801360</t>
  </si>
  <si>
    <t>S805706</t>
  </si>
  <si>
    <t>TGO0600049</t>
  </si>
  <si>
    <t>TGO0600058</t>
  </si>
  <si>
    <t>TGO0600059</t>
  </si>
  <si>
    <t>TGO0600060</t>
  </si>
  <si>
    <t>TGO0600062</t>
  </si>
  <si>
    <t>TGO0800057</t>
  </si>
  <si>
    <t>EEC0800297</t>
  </si>
  <si>
    <t>A11735</t>
  </si>
  <si>
    <t>A23702</t>
  </si>
  <si>
    <t>A23703</t>
  </si>
  <si>
    <t>003467</t>
  </si>
  <si>
    <t>003812</t>
  </si>
  <si>
    <t>004581</t>
  </si>
  <si>
    <t>005657</t>
  </si>
  <si>
    <t xml:space="preserve"> 7203203</t>
  </si>
  <si>
    <t xml:space="preserve"> 7203206</t>
  </si>
  <si>
    <t>LOW NOX BURNERS</t>
  </si>
  <si>
    <t>Contract work for T8 MS HRH CRH HEP Acoustic Baseline Inspection - A non-destructive, Acoustic Emission detection system will be installed during construction on the Unit Main Steam, Cold Reheat, and Hot Reheat (from the Boiler to the Turbine) piping systems.  The contractor will provide a Turnkey Baseline condition analysis for this piping system.  Main Steam, and Hot Reheat lines operate at (or above) 1000 degrees are subject to creep damage.  This inspection method uses Acoustic Emission technology to determine flaw location and crack growth during Unit operation.  This project will provide funds to complete the initial assessment of the piping using the Acoustic Emission system.</t>
  </si>
  <si>
    <t>TEC0801432</t>
  </si>
  <si>
    <t>T7 CRH ACOUSTIC EQUIPMENT</t>
  </si>
  <si>
    <t>Contract work for T7 CRH Acoustic Equipment - A Quantitative Acoustic Emission (QAE) Non-Destructive Inspection (NDI) Method monitoring system will be installed on T7 Cold Reheat (top-end only).  Contractor will provide installation of their Acoustic Emission technology and a baseline condition analysis for this piping system.  Main Steam, Cold Reheat, and Hot Reheat lines operate at (or above) 1000 degrees and are subject to creep damage.  This inspection method uses proprietary acoustic emission technology to determine flaw location and crack growth during Unit operation.  This system will be installed during normal unit operation.</t>
  </si>
  <si>
    <t>T7/9 TURBINE WATER INDUCTION PROTECTION</t>
  </si>
  <si>
    <t xml:space="preserve">Contract work for T7/9 Turbine Water Induction Protection - This project will install new valves, controls, instrumentation, and piping as required to conform unit turbine water induction protection to ASME code.  This is a multiyear project with final installation to be conducted in conjunction with the Spring 2011 T7/9 outage.  This initial phase will include an engineering study &amp; design of the various TWIP systems. </t>
  </si>
  <si>
    <t>TEC0802112</t>
  </si>
  <si>
    <t>TCOM CINDER PIT OVERFLOW</t>
  </si>
  <si>
    <t>Contract work for Tcom Cinder Pit Overflow - This project will be to design and install a Cinder Pit Overflow system in 2008.</t>
  </si>
  <si>
    <t>JEC WATER SUPPLY UPGRADES</t>
  </si>
  <si>
    <t>JEC Water Supply Upgrades.</t>
  </si>
  <si>
    <t>J2 COOLING TOWER SWITCHGEAR UPGRADE</t>
  </si>
  <si>
    <t>Total</t>
  </si>
  <si>
    <t>Beginning</t>
  </si>
  <si>
    <t>Dollars</t>
  </si>
  <si>
    <t>Percent</t>
  </si>
  <si>
    <t>Weighted</t>
  </si>
  <si>
    <t xml:space="preserve">         Common Stock</t>
  </si>
  <si>
    <t xml:space="preserve">     Total</t>
  </si>
  <si>
    <t>Less:</t>
  </si>
  <si>
    <t xml:space="preserve"> </t>
  </si>
  <si>
    <t xml:space="preserve">Plant </t>
  </si>
  <si>
    <t>Labor</t>
  </si>
  <si>
    <t>Related</t>
  </si>
  <si>
    <t>(A)</t>
  </si>
  <si>
    <t>(B)</t>
  </si>
  <si>
    <t>(C)</t>
  </si>
  <si>
    <t>(D)</t>
  </si>
  <si>
    <t>(E)</t>
  </si>
  <si>
    <t>(G)</t>
  </si>
  <si>
    <t>Description</t>
  </si>
  <si>
    <t>YE Balance</t>
  </si>
  <si>
    <t>M</t>
  </si>
  <si>
    <t>N</t>
  </si>
  <si>
    <t>Interest</t>
  </si>
  <si>
    <t>Annual</t>
  </si>
  <si>
    <t>Charge</t>
  </si>
  <si>
    <t>JEC0610127</t>
  </si>
  <si>
    <t>Line</t>
  </si>
  <si>
    <t>Distribution</t>
  </si>
  <si>
    <t>Transmission</t>
  </si>
  <si>
    <t>Customer Accounts</t>
  </si>
  <si>
    <t>Customer Service and Informational</t>
  </si>
  <si>
    <t>Sales</t>
  </si>
  <si>
    <t>Emission Allowances</t>
  </si>
  <si>
    <t>Excluded</t>
  </si>
  <si>
    <t>Book accrual for Salary Continuation Plan vs. actual payments for tax</t>
  </si>
  <si>
    <t>Charitable contributions expensed on books - deductible for tax subject to limitation of 10% of taxable income</t>
  </si>
  <si>
    <t>Accumulated Deferred Income Tax Non Utility</t>
  </si>
  <si>
    <t>Power Marketing Incentives</t>
  </si>
  <si>
    <t>Deferred Compensation KGE</t>
  </si>
  <si>
    <t>Less FASB 109 Above if not separately removed</t>
  </si>
  <si>
    <t>Less FASB 106 Above if not separately removed</t>
  </si>
  <si>
    <t>Accumulated Deferred Income Tax Other Property</t>
  </si>
  <si>
    <t>Prior Year</t>
  </si>
  <si>
    <t xml:space="preserve">   planning process, unless the demand revenue from the customer is included as a revenue credit</t>
  </si>
  <si>
    <t>Total $</t>
  </si>
  <si>
    <r>
      <t>5</t>
    </r>
    <r>
      <rPr>
        <sz val="12"/>
        <rFont val="Times New Roman"/>
        <family val="1"/>
      </rPr>
      <t xml:space="preserve"> Only include long term indebtedness in this account.</t>
    </r>
  </si>
  <si>
    <t xml:space="preserve">   will flow through the formula rate is 65%.  If the return on common equity (ROE) is re-opened through a 205 or 206</t>
  </si>
  <si>
    <t>Retirements</t>
  </si>
  <si>
    <t>Adjustment</t>
  </si>
  <si>
    <t xml:space="preserve">                 Wolf Creek Decom. Exp. (current year)</t>
  </si>
  <si>
    <t xml:space="preserve">       Other Power Generation Accounts [Form 1, pg. 321, ln. 74, col. b]</t>
  </si>
  <si>
    <t xml:space="preserve">       A&amp;G O&amp;M [Form 1, pg. 323, ln. 197, col. b]</t>
  </si>
  <si>
    <t>Current PBOPs</t>
  </si>
  <si>
    <t xml:space="preserve">    General [Form 1, pg. 336, ln. 10, col. f]</t>
  </si>
  <si>
    <t xml:space="preserve">    Intangible [Form 1, pg. 336, ln. 1, col. f]</t>
  </si>
  <si>
    <r>
      <t xml:space="preserve">6 </t>
    </r>
    <r>
      <rPr>
        <u/>
        <sz val="12"/>
        <rFont val="Times New Roman"/>
        <family val="1"/>
      </rPr>
      <t>Taxes, Other Than Income</t>
    </r>
    <r>
      <rPr>
        <sz val="12"/>
        <rFont val="Times New Roman"/>
        <family val="1"/>
      </rPr>
      <t xml:space="preserve"> [Form 1, pg. 263, col. i]</t>
    </r>
  </si>
  <si>
    <t xml:space="preserve">       Where: WCLTD = Weighted cost of long term debt. [Item 6]</t>
  </si>
  <si>
    <t xml:space="preserve">                    R = Rate of return. [Item 6]</t>
  </si>
  <si>
    <t xml:space="preserve">     Less: Impact of domestic manufacturing tax deduction under IRC Section 199 [Wk. Q, ln. 30]</t>
  </si>
  <si>
    <t>VOM   =</t>
  </si>
  <si>
    <t>F          =</t>
  </si>
  <si>
    <t>P          =</t>
  </si>
  <si>
    <t>NI        =</t>
  </si>
  <si>
    <t>Line No.</t>
  </si>
  <si>
    <r>
      <t xml:space="preserve">1 </t>
    </r>
    <r>
      <rPr>
        <u/>
        <sz val="12"/>
        <rFont val="Times New Roman"/>
        <family val="1"/>
      </rPr>
      <t>Plant in Service</t>
    </r>
  </si>
  <si>
    <r>
      <t xml:space="preserve">3 </t>
    </r>
    <r>
      <rPr>
        <u/>
        <sz val="12"/>
        <rFont val="Times New Roman"/>
        <family val="1"/>
      </rPr>
      <t>Other Rate Base Items</t>
    </r>
  </si>
  <si>
    <t>Allocator</t>
  </si>
  <si>
    <t xml:space="preserve">     b. Percent Obligation</t>
  </si>
  <si>
    <t>(c)  =  (a)  *  (b)</t>
  </si>
  <si>
    <t>(e)  =  (a)  *  (d)</t>
  </si>
  <si>
    <t xml:space="preserve">   C)  Salaries and Wages (SW)</t>
  </si>
  <si>
    <t>Allocator SW</t>
  </si>
  <si>
    <t>Direct Allocator</t>
  </si>
  <si>
    <t>Direct Allocator &amp; SW</t>
  </si>
  <si>
    <t>Allocator GP</t>
  </si>
  <si>
    <t>Allocator NP</t>
  </si>
  <si>
    <t xml:space="preserve">     Less: ADITC adjustment ( ADITC*  x  1/(1-T) )</t>
  </si>
  <si>
    <t xml:space="preserve">         1 / (1 - T)  = </t>
  </si>
  <si>
    <t xml:space="preserve">      Subtotal -- Labor Related</t>
  </si>
  <si>
    <t xml:space="preserve">      Total Other Taxes</t>
  </si>
  <si>
    <t xml:space="preserve">      Subtotal -- Plant Related</t>
  </si>
  <si>
    <t>Title</t>
  </si>
  <si>
    <t>Variable O&amp;M, which shall be equal to the latest VOM produced by the formula included in this Attachment D, Item 5.</t>
  </si>
  <si>
    <t>This project requests funds to perform the first phase of the rebuild of Jeffrey  Energy Center Unit 2 electrostatic precipitator.  The first phase of this project requests funds for the engineering, procurement, and design of the materials and equipment necessary for the rebuild of the Unit 2 Electrostatic Precipitator.  In addition to this, funds are requested for the procurement of the materials necessary for the strengthening of the structural members as recommended from a study conducted to determine the needs created by the installation of the new I.D. Fans and the possible induced vacuum on the system by as much as -45" H2O resulting from a full load trip.</t>
  </si>
  <si>
    <t>PHASE 1 J2 ESP REBUILD</t>
  </si>
  <si>
    <t>Allowable</t>
  </si>
  <si>
    <t>Principal</t>
  </si>
  <si>
    <t>(Discount)</t>
  </si>
  <si>
    <t xml:space="preserve">Gain(Loss) on </t>
  </si>
  <si>
    <t>Over(Under)</t>
  </si>
  <si>
    <t>Recovery</t>
  </si>
  <si>
    <t>Year</t>
  </si>
  <si>
    <t>Cummulative</t>
  </si>
  <si>
    <t>A</t>
  </si>
  <si>
    <t>B</t>
  </si>
  <si>
    <t>C</t>
  </si>
  <si>
    <t>D</t>
  </si>
  <si>
    <t>E</t>
  </si>
  <si>
    <t>F</t>
  </si>
  <si>
    <t>G</t>
  </si>
  <si>
    <t>H</t>
  </si>
  <si>
    <t>I</t>
  </si>
  <si>
    <t>J</t>
  </si>
  <si>
    <t>K</t>
  </si>
  <si>
    <t>L</t>
  </si>
  <si>
    <t>Current-Year</t>
  </si>
  <si>
    <t>Preliminary</t>
  </si>
  <si>
    <t>Unamortized debt issue costs, discount/premium, and loss on reacquired debt deducted for tax vs. for books, these costs are added to and amortized over the life of the new issue</t>
  </si>
  <si>
    <t>Regulatory Commission Expense</t>
  </si>
  <si>
    <t>Book amortization of regulatory commission expenses previously deducted for tax</t>
  </si>
  <si>
    <t>Integration Costs</t>
  </si>
  <si>
    <t>Acquisition related costs disallowed for tax purposes</t>
  </si>
  <si>
    <t>Contract work for T-7 CEM Replacement - This project to replace existing aging CEM system.  The CEM system includes the SO2, CO2, and NOx analyzers, the stack sampling probe and stack sampling umbilical cord.  The CEM analyzers are reaching the end of their useful life and some parts will no longer be available from the manufacturer.  The stack probe and umbilical cord are at the end of their useful life as well.</t>
  </si>
  <si>
    <t>TEC0800625</t>
  </si>
  <si>
    <t>T8 CEM REPLACEMENT PROJECT</t>
  </si>
  <si>
    <t>Contract work for T8 CEM Replacement - This project involves replacing existing aging CEM system.  The CEM system includes the SO2, CO2, and NOx analyzers, the stack sampling probe and stack sampling umbilical cord.  The CEM analyzers are reaching the end of their useful life and some parts will no longer be available from the manufacturer.  The stack probe and umbilical cord are at the end of their useful life as well.</t>
  </si>
  <si>
    <t>TEC0800881</t>
  </si>
  <si>
    <t>COOLING TOWER CROSSTIE-L3-LEC</t>
  </si>
  <si>
    <t>Contract work for Cooling Tower Crosstie-L3-LEC - This project will include waste water treatment facility replacement options and feasibility study, design engineering and STP replacement, as well as, to complete the replacement of the sewage treatment plant in 2008.</t>
  </si>
  <si>
    <t>TEC0800915</t>
  </si>
  <si>
    <t>T8 HEP ACOUSTIC EQUIPMENT</t>
  </si>
  <si>
    <t>WORKSHEET L, WOLF CREEK DECOMMISSIONING</t>
  </si>
  <si>
    <t>WORKSHEET N, ACCOUNT NO. 501, FUEL</t>
  </si>
  <si>
    <t>WORKSHEET Q, DOMESTIC MANUFACTURING DEDUCTION</t>
  </si>
  <si>
    <t>WORKSHEET R, ALLOCATED INVESTMENT TAX CREDIT</t>
  </si>
  <si>
    <t>WORKSHEET S, DEPRECIATION RATES</t>
  </si>
  <si>
    <t>WORKSHEET T, POST-EMPLOYMENT BENEFITS OTHER THAN PENSIONS</t>
  </si>
  <si>
    <t>WORKSHEET U, LTD COST</t>
  </si>
  <si>
    <t>Contract work for the GEEC Ecom Backup Air Compressor Upgrade - Purchase and install a new station backup air compressor.  This would require the removal of two large piston type air compressors and replace both of them with one screw type air compressor.</t>
  </si>
  <si>
    <t>EEC0803796</t>
  </si>
  <si>
    <t>E1 REHEAT REPLACEMENT</t>
  </si>
  <si>
    <t>Contract work for the E1 Reheat Replacement - Evans 1 Reheat Terminal Tube and Bank 1 Replacement/Upgrade to T22.  Includes purchasing materials, removal, and labor for installation.</t>
  </si>
  <si>
    <t>EEC0804389</t>
  </si>
  <si>
    <t>WCNOC Turbine Building - EAD05C HP condenser tube replacement.</t>
  </si>
  <si>
    <t>WCNOC Turbine Building - High pressure nitrogen pressure control station.</t>
  </si>
  <si>
    <t>WCNOC Turbine Building - XPB03 Secondary power cable replacement.</t>
  </si>
  <si>
    <t>WCNOC Auxiliary Building - Improved valve design for KCHV0253 containment isolation valve.</t>
  </si>
  <si>
    <t>WCNOC Auxiliary Building - Permanent platforms for post fire safe shutdown manual actions.</t>
  </si>
  <si>
    <t>WCNOC Auxiliary Building - Safety related room cooler changeout.  #SGL09A, #SGL11B, #SGL12A, #SGG04A and #SGG04B.</t>
  </si>
  <si>
    <t>WCNOC Auxiliary Building - Replace valve #BLV0021 a 4" gate valve.</t>
  </si>
  <si>
    <t>WCNOC Site Security Building - Camera addition for SAF outside isolation zone.</t>
  </si>
  <si>
    <t>WCNOC Site Security Building - Video recording system upgrade.</t>
  </si>
  <si>
    <t>WCNOC Site Security Building - replace air conditioning (a/c) units in 7 BRES (bullet resistant enclosures).</t>
  </si>
  <si>
    <t>WCNOC Site Security Building - Provide Homeland security modifications in 2007.</t>
  </si>
  <si>
    <t>WCNOC Site Security Building - Install warning barriers at Main Gate North.</t>
  </si>
  <si>
    <t>WCNOC Reactor Building - Permanent refueling outage power.</t>
  </si>
  <si>
    <t>WCNOC Reactor Building - Permanent containment outage power.</t>
  </si>
  <si>
    <t>WCNOC Reactor Building - Replace valves GNV0039, 40, 41, 42.</t>
  </si>
  <si>
    <t>WCNOC Reactor Building - Evaluation of new seal table maintenance fitting assembly.</t>
  </si>
  <si>
    <t>WCNOC Reactor Building - Replace AE check valves in containment.</t>
  </si>
  <si>
    <t>Contract work to install 4 switches at LaCygne station.</t>
  </si>
  <si>
    <t xml:space="preserve"> 7081745</t>
  </si>
  <si>
    <t>REPLACE PHONE CABLE WITH FIBER OPTIC</t>
  </si>
  <si>
    <t>Emporia Energy Center Accrual.</t>
  </si>
  <si>
    <t>WIND TURBINES ACCOUNTING ACCRUAL</t>
  </si>
  <si>
    <t>Flat Ridge Wind Farm Turbines - Accounting purpose only to record quarterly accrual.</t>
  </si>
  <si>
    <t>Central Plains Wind Farm - For accounting purpose only to record quarterly accrual.</t>
  </si>
  <si>
    <t>ENGINEERING SERVICES, LAND PURCHASE, AND PERMITTING FOR NEW COMBUSTION TURBINES</t>
  </si>
  <si>
    <t>New combustion turbines are needed to meet the Company's anticipated generation capacity requirements.  This project includes procurement of land for the new gas turbine site, procurement of required permits, engineering to design the gas turbine facility, and engineering to write specifications required for equipment, materials and construction contracts for the facility.</t>
  </si>
  <si>
    <t>EMPORIA ENERGY CENTER UNIT 5 FRAME COMBUSTION TURBINE</t>
  </si>
  <si>
    <t>Year End</t>
  </si>
  <si>
    <t>Contract work for Central Plains Wind Farm - New wind turbines are needed to meet the Company's anticipated generation needs.  This project includes engineering to design the wind turbine facility, and engineering to write specifications required for equipment, materials, and construction contracts for the facility, procurement of required permits and equipment, and construction of the facilities.</t>
  </si>
  <si>
    <t>Contract work for Flat Ridge Wind Farm - New wind turbines are needed to meet the Company's anticipated generation needs.  This project includes engineering to design the wind turbine facility, and engineering to write specifications required for equipment, materials, and construction contracts for the facility, procurement of required permits and equipment, and construction of the facilities.</t>
  </si>
  <si>
    <t>Contract work for Emporia Energy Center Gas Turbine Unit 3 - Troubleshoot cause of unit trip 7/1 at 7PM.</t>
  </si>
  <si>
    <t>Ad Valorem Tax R/L</t>
  </si>
  <si>
    <t>Regulatory liability recorded for ad valorem taxes not recognized for tax purposes.</t>
  </si>
  <si>
    <t>Deferred taxes associated with Kansas High Performance Incentives Tax Credits.</t>
  </si>
  <si>
    <t>Post-Ret Med Expense Tracker</t>
  </si>
  <si>
    <t>Reg Liab - KS Tax Credit Grossup</t>
  </si>
  <si>
    <t>Deferred taxes on the Regulatory Liability associated with Kansas High Performance Incentive Program Credits</t>
  </si>
  <si>
    <t>Deferred income tax associated with the regulatory asset for Energy Efficiency Education Programs.</t>
  </si>
  <si>
    <t>Pension Tracker Expense</t>
  </si>
  <si>
    <t>Deferred income taxes related to the WattSaver Program regulatory asset</t>
  </si>
  <si>
    <t>BLDG Operator Cert</t>
  </si>
  <si>
    <t>Deferred income taxes related to the Building Operator Certificate regulatory asset</t>
  </si>
  <si>
    <t>Post-Ret-Med expense Tracker</t>
  </si>
  <si>
    <t xml:space="preserve">Deferred income taxes on amounts recorded to the Pension Expense Tracker </t>
  </si>
  <si>
    <t>L5 Replace Cooling Tower -  This project will replace the cooling tower on Unit 5.  The cooling tower will be replaced with a 16 cell fiberglass, crossflow, splashfill design that fits into the existing basin.  The tower will be constructed with new switchgear including VFD fan motor starters and new transformers.</t>
  </si>
  <si>
    <t>LEC0801068</t>
  </si>
  <si>
    <t>L3 GENERATOR OVERHAUL</t>
  </si>
  <si>
    <t>LEC0802635</t>
  </si>
  <si>
    <t>L5 LOWER SLOPE REPLACEMENT</t>
  </si>
  <si>
    <t>Contract work for the L3 Turbine Vibration and Expansion - This is original equipment furnished by General Electric in 1955 and repair parts are no longer available.  Present vibration, eccentricity, and differential expansion equipment has only single probes and no longer function.  Project is to replace non-functioning equipment with dual probes reading absolute vibration as well as eccentricity and differential expansion.  All readings will be brought into the Bailey DCS system and alarmed.  This project will upgrade to X-Y proximity probes and includes a key phaser.</t>
  </si>
  <si>
    <t>LEC0805848</t>
  </si>
  <si>
    <t>L5 CONDENSER WATER BOX UPGRADES</t>
  </si>
  <si>
    <t>Hutchinson Energy Center or Abilene Energy Center or Spring Creek</t>
  </si>
  <si>
    <t>Fuel Burn Information</t>
  </si>
  <si>
    <t>Balance</t>
  </si>
  <si>
    <t>Current Year</t>
  </si>
  <si>
    <r>
      <t>(D)</t>
    </r>
    <r>
      <rPr>
        <b/>
        <i/>
        <vertAlign val="superscript"/>
        <sz val="10"/>
        <rFont val="Arial"/>
        <family val="2"/>
      </rPr>
      <t>1</t>
    </r>
  </si>
  <si>
    <t>T7 &amp; T8    MERCURY CEM</t>
  </si>
  <si>
    <t>T7/9 &amp; T8/10 REAL TIME PERFORMANCE</t>
  </si>
  <si>
    <t>Westar Generation Power Purchase</t>
  </si>
  <si>
    <t xml:space="preserve">Regulatory liability recorded for power purchased from Westar Generating; not recognized for tax.  </t>
  </si>
  <si>
    <t>Restricted Stock Expenses</t>
  </si>
  <si>
    <t>6.  Total Current - Year Capacity Rev. Req. (Sum of Lines 1 Through 5)</t>
  </si>
  <si>
    <t>11.  Current - Year Cap. Rev. Req. Rate, $/kW-Month (ln. 9 / ln. 10 / 12 )</t>
  </si>
  <si>
    <r>
      <t xml:space="preserve">1. Plant in Service </t>
    </r>
    <r>
      <rPr>
        <vertAlign val="superscript"/>
        <sz val="14"/>
        <rFont val="Times New Roman"/>
        <family val="1"/>
      </rPr>
      <t>1</t>
    </r>
  </si>
  <si>
    <r>
      <t xml:space="preserve">2. Accumulated Depreciation </t>
    </r>
    <r>
      <rPr>
        <vertAlign val="superscript"/>
        <sz val="14"/>
        <rFont val="Times New Roman"/>
        <family val="1"/>
      </rPr>
      <t>2</t>
    </r>
  </si>
  <si>
    <r>
      <t xml:space="preserve">3. Other Rate Base Items </t>
    </r>
    <r>
      <rPr>
        <vertAlign val="superscript"/>
        <sz val="14"/>
        <rFont val="Times New Roman"/>
        <family val="1"/>
      </rPr>
      <t>3</t>
    </r>
  </si>
  <si>
    <r>
      <t xml:space="preserve">4. Working Capital </t>
    </r>
    <r>
      <rPr>
        <vertAlign val="superscript"/>
        <sz val="14"/>
        <rFont val="Times New Roman"/>
        <family val="1"/>
      </rPr>
      <t>4</t>
    </r>
  </si>
  <si>
    <t>5. Rate Base ( Sum lns. 1 - 4 )</t>
  </si>
  <si>
    <t xml:space="preserve">    Production [Form 1, pg. 205, ln. 46, col.g]</t>
  </si>
  <si>
    <t xml:space="preserve">    General [Form 1, pg. 207, ln. 99, col.g]</t>
  </si>
  <si>
    <t xml:space="preserve">    General [Form 1, pg. 219, ln. 28, col. c]</t>
  </si>
  <si>
    <t>Contract work to replace Low NOX burners as part of La Cygne Unit 2 AQCS upgrade.</t>
  </si>
  <si>
    <t xml:space="preserve"> 7207459</t>
  </si>
  <si>
    <t>SEWAGE LIFT STATION</t>
  </si>
  <si>
    <t>YTM BOND - EARLY REDEMPTION DETAILS</t>
  </si>
  <si>
    <t xml:space="preserve">  the life of the refunding vehicle. </t>
  </si>
  <si>
    <t xml:space="preserve">Transmission </t>
  </si>
  <si>
    <t>Revenue</t>
  </si>
  <si>
    <t>Direct-Assigned</t>
  </si>
  <si>
    <t>Notes to Direct Assigned Transmission</t>
  </si>
  <si>
    <r>
      <t xml:space="preserve">312.10 </t>
    </r>
    <r>
      <rPr>
        <vertAlign val="superscript"/>
        <sz val="12"/>
        <rFont val="Times New Roman"/>
        <family val="1"/>
      </rPr>
      <t>4</t>
    </r>
  </si>
  <si>
    <r>
      <t xml:space="preserve">312.20 </t>
    </r>
    <r>
      <rPr>
        <vertAlign val="superscript"/>
        <sz val="12"/>
        <rFont val="Times New Roman"/>
        <family val="1"/>
      </rPr>
      <t>5</t>
    </r>
  </si>
  <si>
    <t>LACEC - #2</t>
  </si>
  <si>
    <t>WCEC</t>
  </si>
  <si>
    <r>
      <t>4</t>
    </r>
    <r>
      <rPr>
        <sz val="12"/>
        <rFont val="Times New Roman"/>
        <family val="1"/>
      </rPr>
      <t xml:space="preserve"> Account 312.10 records depreciation expense and accumulated reserve for pollution control equipment.</t>
    </r>
  </si>
  <si>
    <r>
      <t>5</t>
    </r>
    <r>
      <rPr>
        <sz val="12"/>
        <rFont val="Times New Roman"/>
        <family val="1"/>
      </rPr>
      <t xml:space="preserve"> Account 312.20 records depreciation expense and accumulated reserve for railcars.</t>
    </r>
  </si>
  <si>
    <r>
      <t xml:space="preserve">WORKSHEET T, POST-EMPLOYMENT BENEFITS OTHER THAN PENSIONS </t>
    </r>
    <r>
      <rPr>
        <b/>
        <vertAlign val="superscript"/>
        <sz val="16"/>
        <rFont val="Times New Roman"/>
        <family val="1"/>
      </rPr>
      <t>1</t>
    </r>
  </si>
  <si>
    <r>
      <t xml:space="preserve">Total FAS 106 </t>
    </r>
    <r>
      <rPr>
        <vertAlign val="superscript"/>
        <sz val="12"/>
        <rFont val="Times New Roman"/>
        <family val="1"/>
      </rPr>
      <t>2</t>
    </r>
  </si>
  <si>
    <t>Postretirement Welfare Exp.</t>
  </si>
  <si>
    <r>
      <t xml:space="preserve">Total FAS 112 </t>
    </r>
    <r>
      <rPr>
        <vertAlign val="superscript"/>
        <sz val="12"/>
        <rFont val="Times New Roman"/>
        <family val="1"/>
      </rPr>
      <t>3</t>
    </r>
  </si>
  <si>
    <t>LT Disability Expense</t>
  </si>
  <si>
    <t>Workers Compensation Exp.</t>
  </si>
  <si>
    <t>Account No.</t>
  </si>
  <si>
    <t xml:space="preserve">Interest </t>
  </si>
  <si>
    <t>Yield</t>
  </si>
  <si>
    <t>Issue Amount</t>
  </si>
  <si>
    <t>Coupon</t>
  </si>
  <si>
    <t>Net Proceeds</t>
  </si>
  <si>
    <t>YTM</t>
  </si>
  <si>
    <t>Time Period</t>
  </si>
  <si>
    <t>TEST YEAR ENDED</t>
  </si>
  <si>
    <t>(aa)</t>
  </si>
  <si>
    <t>(bb)</t>
  </si>
  <si>
    <t>(cc)</t>
  </si>
  <si>
    <t>(dd)</t>
  </si>
  <si>
    <t>(ee)</t>
  </si>
  <si>
    <t>(jj)</t>
  </si>
  <si>
    <t>(ff)</t>
  </si>
  <si>
    <t>(gg)</t>
  </si>
  <si>
    <t>(hh)</t>
  </si>
  <si>
    <t>(ii)</t>
  </si>
  <si>
    <t>Energy Center:</t>
  </si>
  <si>
    <r>
      <t xml:space="preserve">Basis for Calculated Depreciation Expense </t>
    </r>
    <r>
      <rPr>
        <vertAlign val="superscript"/>
        <sz val="12"/>
        <rFont val="Times New Roman"/>
        <family val="1"/>
      </rPr>
      <t>1</t>
    </r>
  </si>
  <si>
    <t>Dec</t>
  </si>
  <si>
    <t>Jan</t>
  </si>
  <si>
    <t>Feb</t>
  </si>
  <si>
    <t>Mar</t>
  </si>
  <si>
    <t>Apr</t>
  </si>
  <si>
    <t>May</t>
  </si>
  <si>
    <t>Jun</t>
  </si>
  <si>
    <t>Jul</t>
  </si>
  <si>
    <t>Aug</t>
  </si>
  <si>
    <t>Sep</t>
  </si>
  <si>
    <t>Oct</t>
  </si>
  <si>
    <t>Nov</t>
  </si>
  <si>
    <t>Depr.</t>
  </si>
  <si>
    <r>
      <t xml:space="preserve">Calculated Depreciation Expense </t>
    </r>
    <r>
      <rPr>
        <vertAlign val="superscript"/>
        <sz val="12"/>
        <rFont val="Times New Roman"/>
        <family val="1"/>
      </rPr>
      <t>3</t>
    </r>
  </si>
  <si>
    <r>
      <t xml:space="preserve">Rate </t>
    </r>
    <r>
      <rPr>
        <u/>
        <vertAlign val="superscript"/>
        <sz val="12"/>
        <rFont val="Times New Roman"/>
        <family val="1"/>
      </rPr>
      <t>2</t>
    </r>
  </si>
  <si>
    <t>Prior Year's</t>
  </si>
  <si>
    <r>
      <t xml:space="preserve">Calculated Accumulated Reserve for Depreciation </t>
    </r>
    <r>
      <rPr>
        <vertAlign val="superscript"/>
        <sz val="12"/>
        <rFont val="Times New Roman"/>
        <family val="1"/>
      </rPr>
      <t>4</t>
    </r>
  </si>
  <si>
    <r>
      <t xml:space="preserve">Dec Balance </t>
    </r>
    <r>
      <rPr>
        <u/>
        <vertAlign val="superscript"/>
        <sz val="12"/>
        <rFont val="Times New Roman"/>
        <family val="1"/>
      </rPr>
      <t>1</t>
    </r>
  </si>
  <si>
    <t>6   Form 1 amount is lower due to netting of purchases and sales, as required by Order 668.</t>
  </si>
  <si>
    <t>J2 &amp; J3 CRH ACOUSTIC INSPECTION SYSTEM</t>
  </si>
  <si>
    <t>L3 SUPER HEATER REPLACEMENT</t>
  </si>
  <si>
    <t>L3 TURBINE WATER INDUCTION PROTECTION SYSTEM</t>
  </si>
  <si>
    <t>T7 TURBINE PROTECTIVE DEVICES UPGRADE</t>
  </si>
  <si>
    <t>T8 SOFA PURCHASE SPEC &amp; ENGINEERING STUDY</t>
  </si>
  <si>
    <t>ITEM 1 - MONTHLY BILLING AND ENERGY CHARGE</t>
  </si>
  <si>
    <r>
      <t xml:space="preserve">1.   </t>
    </r>
    <r>
      <rPr>
        <u/>
        <sz val="12"/>
        <rFont val="Times New Roman"/>
        <family val="1"/>
      </rPr>
      <t>Net Monthly Bill.</t>
    </r>
    <r>
      <rPr>
        <sz val="12"/>
        <rFont val="Times New Roman"/>
        <family val="1"/>
      </rPr>
      <t xml:space="preserve">  Customer's monthly bill shall be the total of:</t>
    </r>
  </si>
  <si>
    <t>MONTHLY BILLING AND ENERGY CHARGE</t>
  </si>
  <si>
    <t>RATE BASE</t>
  </si>
  <si>
    <t>DEMAND RELATED EXPENSES</t>
  </si>
  <si>
    <t>TABLE OF CONTENTS</t>
  </si>
  <si>
    <r>
      <t xml:space="preserve">2.   </t>
    </r>
    <r>
      <rPr>
        <u/>
        <sz val="12"/>
        <rFont val="Times New Roman"/>
        <family val="1"/>
      </rPr>
      <t>Energy Charge.</t>
    </r>
    <r>
      <rPr>
        <sz val="12"/>
        <rFont val="Times New Roman"/>
        <family val="1"/>
      </rPr>
      <t xml:space="preserve">  Each month, the Energy Charge shall be determined as follows:</t>
    </r>
  </si>
  <si>
    <r>
      <t xml:space="preserve">3.  </t>
    </r>
    <r>
      <rPr>
        <u/>
        <sz val="12"/>
        <rFont val="Times New Roman"/>
        <family val="1"/>
      </rPr>
      <t>Applicable Taxes</t>
    </r>
  </si>
  <si>
    <t>ITEM 2 - DEMAND CHARGE CALCULATION</t>
  </si>
  <si>
    <t>ITEM 3 - RATE BASE</t>
  </si>
  <si>
    <r>
      <t xml:space="preserve">7 </t>
    </r>
    <r>
      <rPr>
        <u/>
        <sz val="12"/>
        <rFont val="Times New Roman"/>
        <family val="1"/>
      </rPr>
      <t>Income Tax Calculation</t>
    </r>
  </si>
  <si>
    <t xml:space="preserve">  accepted by FERC in a Section 205 or 206 filing.</t>
  </si>
  <si>
    <t>Year-End</t>
  </si>
  <si>
    <t>Average</t>
  </si>
  <si>
    <t>(d)</t>
  </si>
  <si>
    <t>(e)</t>
  </si>
  <si>
    <t>(f)</t>
  </si>
  <si>
    <t>(g)</t>
  </si>
  <si>
    <t>WCNOC Education Center - Upgrade simulator computer.</t>
  </si>
  <si>
    <t>WCNOC Education Center - Replace air conditioner compressors for Cessna, Eisenhower and Earhard buildings.</t>
  </si>
  <si>
    <t>WCNOC Radwaste Building - S/G blowdown discharge pumps bypass line.</t>
  </si>
  <si>
    <t>WCNOC Radwaste Building - Replace valve #KH7926.</t>
  </si>
  <si>
    <t>WCNOC Turbine Building - Replace 4" check valve, #KCV-478.</t>
  </si>
  <si>
    <t>WCNOC Start-up Transformer Structure - Main transformers uprate.</t>
  </si>
  <si>
    <t>WCNOC Security Building - replace carpeting/matting.</t>
  </si>
  <si>
    <t>WCNOC Shop Building and Chlorine House - Replace pump shaft on #1WM003PA.</t>
  </si>
  <si>
    <t>WCNOC ESW Pumphouse &amp; Chlorine Building - Replace 3" gate valve #EFPV0019.</t>
  </si>
  <si>
    <t>NEW WIND TURBINES ARE NEEDED TO MEET</t>
  </si>
  <si>
    <t>AEC MISC TOOLS AND SMALL PROJECTS</t>
  </si>
  <si>
    <t>Abilene Energy Center Gas Turbine - Misc Tools and Small Projects.</t>
  </si>
  <si>
    <t>EMPORIA ENERGY CENTER UNIT 3 EQUIPMENT</t>
  </si>
  <si>
    <t>CONSTRUCTION COSTS FOR EMPORIA CT</t>
  </si>
  <si>
    <t>CONSTRUCTION COSTS FOR EMPORIA ENERGY CENTER</t>
  </si>
  <si>
    <t>COMMON EQUIPMENT FOR EMPORIA ENERGY CENTER</t>
  </si>
  <si>
    <t>Emporia Energy Center Gas Turbine - Common Equipment for Emporia EC such as tools, etc., Phase II.</t>
  </si>
  <si>
    <t>Emporia Energy Center Gas Turbine Unit 7 - Construction Costs for Emporia CT #7.</t>
  </si>
  <si>
    <t>Emporia Energy Center Gas Turbine - Construction costs for Emporia Energy Center Common equipment and labor to install.</t>
  </si>
  <si>
    <t>SPRING CREEK - SOUTH PLANT MISC TOOLS</t>
  </si>
  <si>
    <t>Spring Creek Energy Center GT - South Plant misc tools and small projects.</t>
  </si>
  <si>
    <t>EMPORIA ENERGY CENTER ACCRUAL</t>
  </si>
  <si>
    <t>Development of Effective Cost Rates For Bonds and Other Traditional Front-Loaded Debt Issuances:</t>
  </si>
  <si>
    <t>Contract work for TEC7 and 8 Real Time Performance Monitoring - This is a computer server based, software driven system that takes operating data from the plant PI server, uses it to calculate unit, equipment and system performance monitoring analysis data, and then stores the results of the performance calculations on the plant performance PI server.  This PI data can then be accessed and used throughout the company, utilizing existing PI Processbook and DataLink tools.</t>
  </si>
  <si>
    <t>Contract work for T8 SOFA Purchase Spec and Eng. Study - Install low NOx burners, SOFA and neural net on T8 to meet environmental requirements.</t>
  </si>
  <si>
    <t>t = time</t>
  </si>
  <si>
    <t>Individual Redemptions</t>
  </si>
  <si>
    <t xml:space="preserve">Issuance </t>
  </si>
  <si>
    <t xml:space="preserve">Date </t>
  </si>
  <si>
    <t>Gain (Loss)</t>
  </si>
  <si>
    <t>Book accrual for bad debts vs direct write off method for tax</t>
  </si>
  <si>
    <t>Acquisition related costs disallowed for tax purposes.</t>
  </si>
  <si>
    <t>100%</t>
  </si>
  <si>
    <r>
      <t xml:space="preserve">Adjustment </t>
    </r>
    <r>
      <rPr>
        <vertAlign val="superscript"/>
        <sz val="12"/>
        <rFont val="Times New Roman"/>
        <family val="1"/>
      </rPr>
      <t>1</t>
    </r>
  </si>
  <si>
    <r>
      <t>1</t>
    </r>
    <r>
      <rPr>
        <sz val="12"/>
        <rFont val="Times New Roman"/>
        <family val="1"/>
      </rPr>
      <t xml:space="preserve">  -</t>
    </r>
  </si>
  <si>
    <t>1   The Production Cost of Sales is developed as outlined in the definition of OSSM found in Item 1.</t>
  </si>
  <si>
    <t>Capacity</t>
  </si>
  <si>
    <t>Prior-Year</t>
  </si>
  <si>
    <t>Rev. Req. using</t>
  </si>
  <si>
    <t>Contract work for J1 ESP Rebuild Phase I - This project requests funds to perform the first phase of the rebuild of J1 electrostatic precipitator at the Jeffrey Energy Center.</t>
  </si>
  <si>
    <t>ONEOK Special Agreements</t>
  </si>
  <si>
    <t>Miscellaneous Accrual</t>
  </si>
  <si>
    <t>A11736</t>
  </si>
  <si>
    <t>JEFFREY SCRUBBERS ACCRUAL</t>
  </si>
  <si>
    <t>JEC0700624</t>
  </si>
  <si>
    <t>JEC0701131</t>
  </si>
  <si>
    <t>JEC0701132</t>
  </si>
  <si>
    <t>JEC0709637</t>
  </si>
  <si>
    <t>JEC0704255</t>
  </si>
  <si>
    <t>JEC0706838</t>
  </si>
  <si>
    <t>JEC0713055</t>
  </si>
  <si>
    <t>JEC0713578</t>
  </si>
  <si>
    <t>LEC0504104</t>
  </si>
  <si>
    <t>LEC0601996</t>
  </si>
  <si>
    <t>TEC0700036</t>
  </si>
  <si>
    <t>TEC0700121</t>
  </si>
  <si>
    <t>TEC0700571</t>
  </si>
  <si>
    <t>TEC0701293</t>
  </si>
  <si>
    <r>
      <t>2</t>
    </r>
    <r>
      <rPr>
        <u/>
        <sz val="12"/>
        <rFont val="Times New Roman"/>
        <family val="1"/>
      </rPr>
      <t xml:space="preserve"> Other Power Generation O&amp;M</t>
    </r>
  </si>
  <si>
    <r>
      <t>3</t>
    </r>
    <r>
      <rPr>
        <u/>
        <sz val="12"/>
        <rFont val="Times New Roman"/>
        <family val="1"/>
      </rPr>
      <t xml:space="preserve"> Other Power Supply O&amp;M</t>
    </r>
  </si>
  <si>
    <t xml:space="preserve">    Corporate Franchise</t>
  </si>
  <si>
    <t>012513</t>
  </si>
  <si>
    <t>012520</t>
  </si>
  <si>
    <t>012548</t>
  </si>
  <si>
    <t>012648</t>
  </si>
  <si>
    <t>012649</t>
  </si>
  <si>
    <t>012760</t>
  </si>
  <si>
    <t>012774</t>
  </si>
  <si>
    <t>012792</t>
  </si>
  <si>
    <t>012812</t>
  </si>
  <si>
    <t>012814</t>
  </si>
  <si>
    <t>012819</t>
  </si>
  <si>
    <t>012833</t>
  </si>
  <si>
    <t>012874</t>
  </si>
  <si>
    <t>500836</t>
  </si>
  <si>
    <t>500897</t>
  </si>
  <si>
    <t>500917</t>
  </si>
  <si>
    <t>500931</t>
  </si>
  <si>
    <t>500933</t>
  </si>
  <si>
    <t>500944</t>
  </si>
  <si>
    <t>500967</t>
  </si>
  <si>
    <t>500969</t>
  </si>
  <si>
    <t>500975</t>
  </si>
  <si>
    <t>500984</t>
  </si>
  <si>
    <t>500999</t>
  </si>
  <si>
    <t>501000</t>
  </si>
  <si>
    <t>501001</t>
  </si>
  <si>
    <t>501004</t>
  </si>
  <si>
    <t>501005</t>
  </si>
  <si>
    <t>501007</t>
  </si>
  <si>
    <t>501013</t>
  </si>
  <si>
    <t>501033</t>
  </si>
  <si>
    <t>501034</t>
  </si>
  <si>
    <t>Contract work for J2 CRH Acoustic Inspection System - A non-destructive, acoustic emission system will be installed on JEC's unit 2 Cold reheat piping system from the HP turbine exhaust to the boiler CRH inlet Header.  This inspection method uses acoustic emission technology to determine flaw location and crack growth during unit operation.  This system will be installed during normal unit operation.</t>
  </si>
  <si>
    <t>Date that item was:</t>
  </si>
  <si>
    <t>J2 BOILER CIRCULATING PUMPS</t>
  </si>
  <si>
    <t xml:space="preserve">   The letter designations used in the Work Requests and elsewhere in this workpaper mean as follows:</t>
  </si>
  <si>
    <t>EEC</t>
  </si>
  <si>
    <t>JEC</t>
  </si>
  <si>
    <t>LEC</t>
  </si>
  <si>
    <t>TEC</t>
  </si>
  <si>
    <t>TGO</t>
  </si>
  <si>
    <t>Jeffrey Energy Center</t>
  </si>
  <si>
    <t>Lawrence Energy Center</t>
  </si>
  <si>
    <t>Tecumseh Energy Center</t>
  </si>
  <si>
    <r>
      <t>Identifier</t>
    </r>
    <r>
      <rPr>
        <b/>
        <i/>
        <vertAlign val="superscript"/>
        <sz val="10"/>
        <rFont val="Arial"/>
        <family val="2"/>
      </rPr>
      <t>1</t>
    </r>
  </si>
  <si>
    <t>GEEC or MGEC</t>
  </si>
  <si>
    <t>GEEC</t>
  </si>
  <si>
    <t>Gordon Evans Energy Center</t>
  </si>
  <si>
    <t>LAEC</t>
  </si>
  <si>
    <t>LaCygne Energy Center</t>
  </si>
  <si>
    <t>MGEC</t>
  </si>
  <si>
    <t>Murray Gill Energy Center</t>
  </si>
  <si>
    <t>WCNOC</t>
  </si>
  <si>
    <t>Wolf Creek Nuclear Operating Company, operator of Wolf Creek Energy Center</t>
  </si>
  <si>
    <t xml:space="preserve">     d. Estimated Cost  ( a  x  b  x  c)</t>
  </si>
  <si>
    <t>Topeka General Office (work requests are assigned TGO before official names are given to the facilities)</t>
  </si>
  <si>
    <t>Yield to Maturity Calculation</t>
  </si>
  <si>
    <t>n/a</t>
  </si>
  <si>
    <t>CONSTRUCTION PRORATION BLANKET</t>
  </si>
  <si>
    <t>WCNOC General Office Building, Clyde Cessna - Construction proration blanket.</t>
  </si>
  <si>
    <t>Starting</t>
  </si>
  <si>
    <t>Page</t>
  </si>
  <si>
    <t>Identification</t>
  </si>
  <si>
    <t>Total Capacity Revenue Credit ( A + B )</t>
  </si>
  <si>
    <t>Amount at</t>
  </si>
  <si>
    <t>Date of</t>
  </si>
  <si>
    <t>(F)</t>
  </si>
  <si>
    <t>PL M8170AA</t>
  </si>
  <si>
    <t>Deferred income taxes related to the WattSaver Program regulatory asset.</t>
  </si>
  <si>
    <t>Deferred income taxes on amounts recorded to the WCNOC Pension Tracker Expense</t>
  </si>
  <si>
    <t>7.  Total Capacity Revenue Credit [ Wk. D, Revenue Credit, A) + B) ]</t>
  </si>
  <si>
    <r>
      <t>4</t>
    </r>
    <r>
      <rPr>
        <sz val="14"/>
        <rFont val="Times New Roman"/>
        <family val="1"/>
      </rPr>
      <t xml:space="preserve">  The annual interest rate shall be the average of the Electric Interest Rates, calculated in accordance with Section 35.19a of FERC's regulations, for the FERC Form 1 Data Year.</t>
    </r>
  </si>
  <si>
    <t>Contract work for J2 Fly Ash System Replacement - This project is to request approval for a new fly ash conveying system for J2.  It employs a set of air slides that are connected directly to the bottoms of each fly ash hopper.  These air slides are sloped at an angle and have a polyester woven fabric in them on which the fly ash drops.</t>
  </si>
  <si>
    <t>J1 J2 &amp; J3 LOW NOX AND SOFA UPGRADE</t>
  </si>
  <si>
    <t>J3 CIRCULATING WATER PIPE</t>
  </si>
  <si>
    <t>JCOM REBUILD  #22 DEEPWELL</t>
  </si>
  <si>
    <t>JEC0605973</t>
  </si>
  <si>
    <t>JEC0605975</t>
  </si>
  <si>
    <t>JEC0605977</t>
  </si>
  <si>
    <t>Contract work to replace conveyor belts at  La Cygne station including conveyor 8 and 9 plus Cascade conveyors 2A thru 2G.</t>
  </si>
  <si>
    <t xml:space="preserve"> 7009274</t>
  </si>
  <si>
    <t>LACYGNE MISC TOOLS - 2008</t>
  </si>
  <si>
    <t>Purchase of miscellaneous tools over $500 each for 2008.</t>
  </si>
  <si>
    <t xml:space="preserve"> 7009277</t>
  </si>
  <si>
    <t>DUST COLLECTOR BAGS REPLACEMENT</t>
  </si>
  <si>
    <t>Replace bags due to damage in LaCygne South Cascade dust collector and for TT#3 dust collector.</t>
  </si>
  <si>
    <t xml:space="preserve"> 7009286</t>
  </si>
  <si>
    <t>REPLACE 7KV BREAKERS</t>
  </si>
  <si>
    <t xml:space="preserve"> 7009287</t>
  </si>
  <si>
    <t>480V BREAKERS REPLACEMENT</t>
  </si>
  <si>
    <t>Contract work to replace various 480v. Breakers at LaCygne.</t>
  </si>
  <si>
    <t xml:space="preserve"> 7009313</t>
  </si>
  <si>
    <t>DIESEL FIRE PUMP ENGINE REPLACEMENT</t>
  </si>
  <si>
    <t>Replace Diesel Fire Pump Engine.</t>
  </si>
  <si>
    <t xml:space="preserve"> 7009321</t>
  </si>
  <si>
    <t>ECONOMIZER OUTLET EXP JT</t>
  </si>
  <si>
    <t>Contract work to replace LaCygne economizer outlet expansion joint.</t>
  </si>
  <si>
    <t xml:space="preserve"> 7009324</t>
  </si>
  <si>
    <t>DUST COLLECTOR FIRE PROT ADD</t>
  </si>
  <si>
    <t>Additional fire protection for LaCygne dust collectors.</t>
  </si>
  <si>
    <t xml:space="preserve"> 7081001</t>
  </si>
  <si>
    <t>INSTALL SWITCHES AT LACYGNE</t>
  </si>
  <si>
    <t>JEC0802554</t>
  </si>
  <si>
    <t>JCOM 6.9 KV BREAKER REMOTE RACKING</t>
  </si>
  <si>
    <t>Contract work for Jcom 6.9 Kv Breaker Remote Racking - Replace the trip units on the SUS Mains and Ties for J1.</t>
  </si>
  <si>
    <t>JEC0802555</t>
  </si>
  <si>
    <t xml:space="preserve">Contract work for Jcom Plant Lighting Upgrade - Upgrade the plant lighting at JEC.  Replacing current light fixture with newer ones that will provide better luminescent lighting for the areas for safety reasons.  In addition to this, we will be installing new lighting fixtures in areas of inadequate lighting such as the 5th floor behind the boiler and the coal handling areas of the plant where mobile lighting has to be brought in to perform their work.  </t>
  </si>
  <si>
    <t>JEC0812402</t>
  </si>
  <si>
    <t>JCOM FUEL YARD DUST SURFACTANT UPGRADE</t>
  </si>
  <si>
    <t>Pensions</t>
  </si>
  <si>
    <t>No.</t>
  </si>
  <si>
    <t>Contract work to install fiber-optic main phone line from LaCygne Station across 2200 County Road to The People's Company control house.</t>
  </si>
  <si>
    <t xml:space="preserve"> 7100025</t>
  </si>
  <si>
    <t>LAEC1 SCR RETENTION</t>
  </si>
  <si>
    <t>Project to be used for capturing contract retentions for SCR environmental upgrade.</t>
  </si>
  <si>
    <t xml:space="preserve"> 7100026</t>
  </si>
  <si>
    <t>L1 AQC ACCRUALS</t>
  </si>
  <si>
    <t>Project to be used for capturing accruals for SCR environmental upgrade.</t>
  </si>
  <si>
    <t xml:space="preserve"> 7103090</t>
  </si>
  <si>
    <t>WCNOC Turbine Building - Turbine/Turbine Generator Study.</t>
  </si>
  <si>
    <t>WCNOC Turbine Building - Biocide low pressure neat feed to SW/CW.</t>
  </si>
  <si>
    <t>WCNOC Auxiliary Building - Can01A&amp;B replacements.</t>
  </si>
  <si>
    <t>WCNOC Turbine Building - DCS conversion of secondary plant performance systems and feedwater heater control.</t>
  </si>
  <si>
    <t>WCNOC Turbine Building - Supervisory system replacement.</t>
  </si>
  <si>
    <t>WCNOC Turbine Building - Turbine supervisory instrumentation (TSI) upgrade.</t>
  </si>
  <si>
    <t>WCNOC Turbine Building - MCC PG19G and PG19N cubicle replacements.</t>
  </si>
  <si>
    <t>Book accrual for refunds to customers for amounts previously collected in rates for terminal net salvage; not recognized for tax.</t>
  </si>
  <si>
    <t>Miscellaneous Accruals</t>
  </si>
  <si>
    <t>Section 199 Domestic Manufacturing Deduction</t>
  </si>
  <si>
    <t>Total Electric Operating Revenue</t>
  </si>
  <si>
    <t>Power Marketing Revenue</t>
  </si>
  <si>
    <t xml:space="preserve">    Total Income</t>
  </si>
  <si>
    <t>Total Operations and Maintenance Expense</t>
  </si>
  <si>
    <t>Depreciation and Amortization</t>
  </si>
  <si>
    <t>Taxes Other Than Income</t>
  </si>
  <si>
    <t>Power Marketing Expenses</t>
  </si>
  <si>
    <t xml:space="preserve">    Total Expenses </t>
  </si>
  <si>
    <t>Income before Interest and Taxes</t>
  </si>
  <si>
    <t>Interest Charges</t>
  </si>
  <si>
    <t>Income before Income State Taxes</t>
  </si>
  <si>
    <t>State Income Taxes</t>
  </si>
  <si>
    <t>Income before Federal Taxes</t>
  </si>
  <si>
    <t xml:space="preserve">Schedule Ms </t>
  </si>
  <si>
    <t>Federal Taxable Income - Qualified Production Activities Income (QPAI)</t>
  </si>
  <si>
    <t>Income Limitation:</t>
  </si>
  <si>
    <t>Consolidated Taxable Income</t>
  </si>
  <si>
    <t>Wage Limitation:</t>
  </si>
  <si>
    <t xml:space="preserve">          Plus: Accs. 503 - 513 [Item 4]</t>
  </si>
  <si>
    <t xml:space="preserve">          Plus: Accs. 521 - 531 [Item 4]</t>
  </si>
  <si>
    <t xml:space="preserve">          Total O&amp;M Dem. Cost [Item 4]</t>
  </si>
  <si>
    <t xml:space="preserve">          Less: Acc. 555 Dem. Cost [Item 4]</t>
  </si>
  <si>
    <r>
      <t xml:space="preserve">1.  Steam &amp; Nuclear Power Generation O&amp;M </t>
    </r>
    <r>
      <rPr>
        <vertAlign val="superscript"/>
        <sz val="14"/>
        <rFont val="Times New Roman"/>
        <family val="1"/>
      </rPr>
      <t>1</t>
    </r>
  </si>
  <si>
    <r>
      <t xml:space="preserve">2.  Other Power Generation O&amp;M </t>
    </r>
    <r>
      <rPr>
        <vertAlign val="superscript"/>
        <sz val="14"/>
        <rFont val="Times New Roman"/>
        <family val="1"/>
      </rPr>
      <t>2</t>
    </r>
  </si>
  <si>
    <r>
      <t xml:space="preserve">3.  Other Power Supply O&amp;M </t>
    </r>
    <r>
      <rPr>
        <vertAlign val="superscript"/>
        <sz val="14"/>
        <rFont val="Times New Roman"/>
        <family val="1"/>
      </rPr>
      <t xml:space="preserve">3 </t>
    </r>
    <r>
      <rPr>
        <sz val="14"/>
        <rFont val="Times New Roman"/>
        <family val="1"/>
      </rPr>
      <t xml:space="preserve">           </t>
    </r>
  </si>
  <si>
    <r>
      <t>4.  Direct-Assigned Transmission [Wk. W]</t>
    </r>
    <r>
      <rPr>
        <vertAlign val="superscript"/>
        <sz val="14"/>
        <rFont val="Times New Roman"/>
        <family val="1"/>
      </rPr>
      <t xml:space="preserve"> </t>
    </r>
    <r>
      <rPr>
        <sz val="14"/>
        <rFont val="Times New Roman"/>
        <family val="1"/>
      </rPr>
      <t xml:space="preserve">           </t>
    </r>
  </si>
  <si>
    <r>
      <t xml:space="preserve">5.  A&amp;G O&amp;M </t>
    </r>
    <r>
      <rPr>
        <vertAlign val="superscript"/>
        <sz val="14"/>
        <rFont val="Times New Roman"/>
        <family val="1"/>
      </rPr>
      <t>4</t>
    </r>
  </si>
  <si>
    <t xml:space="preserve">6.  Total Demand Related O&amp;M Expenses  (Sum lns. 1 - 5 )                </t>
  </si>
  <si>
    <r>
      <t xml:space="preserve">7.  Depreciation Expense </t>
    </r>
    <r>
      <rPr>
        <vertAlign val="superscript"/>
        <sz val="14"/>
        <rFont val="Times New Roman"/>
        <family val="1"/>
      </rPr>
      <t xml:space="preserve">5 </t>
    </r>
    <r>
      <rPr>
        <sz val="14"/>
        <rFont val="Times New Roman"/>
        <family val="1"/>
      </rPr>
      <t>[to Item 2, ln. 3]</t>
    </r>
  </si>
  <si>
    <r>
      <t xml:space="preserve">8.  Taxes, Other Than Income </t>
    </r>
    <r>
      <rPr>
        <vertAlign val="superscript"/>
        <sz val="14"/>
        <rFont val="Times New Roman"/>
        <family val="1"/>
      </rPr>
      <t>6</t>
    </r>
    <r>
      <rPr>
        <sz val="14"/>
        <rFont val="Times New Roman"/>
        <family val="1"/>
      </rPr>
      <t xml:space="preserve"> [to Item 2, ln. 4]</t>
    </r>
  </si>
  <si>
    <t>2.  VOM Revenue Credit [ Wk. D, C) ]</t>
  </si>
  <si>
    <t>KCC portion of depreciation expense difference for the period 04/01/02 through 12/21/04 resulting from KCC approved depreciation rates as of 07/01/01 vs the longer life pre-07/01/01 rates for Wolf Creek Generating Station and LaCygne Unit 2.</t>
  </si>
  <si>
    <t>Accumulated Deferred Income Tax Other Prop FASB109</t>
  </si>
  <si>
    <t xml:space="preserve"> [to Item 4, Footnote 1]</t>
  </si>
  <si>
    <t xml:space="preserve">     c. Divisor (Revenue Credits page)</t>
  </si>
  <si>
    <t xml:space="preserve">   source document used for the loads included in Form 1, pg. 401b, cols. d, e and f.  The</t>
  </si>
  <si>
    <t xml:space="preserve">   on the Wk. D, Revenue Credits.</t>
  </si>
  <si>
    <t>(mm)</t>
  </si>
  <si>
    <t>Contract work for J1 Intelligent Sootblowers Retract Upgrade - Replace the old existing 3R, 4R, 5R, 6R, 7R, 8AR, 8BR, 9R, 10BR, 11R retracts, as well as the 3L, 4L, 5L, 6L, 7L, 8AL, 8BL, 9L, 10BL, 11L retracts.  The new retracts will be Clyde-Bergemann intelligent blowers with variable speed travel and rotation.</t>
  </si>
  <si>
    <t>JEC0719280</t>
  </si>
  <si>
    <t>J1 REPLACE INVERTER POWER SUPPLIES</t>
  </si>
  <si>
    <t>J1 Replace Inverter Power Supplies (Spring 2008 Outage) - This project will replace 101 and 102 Solid State Control continuous AC power supply inverter equipment with two new Solid State Control 30 KVA, 120 VAC, 250 ampere output, 336 ampere at 105 Vdc input inverts, static transfer switches and manual bypass switches.  A flat panel operator console is provided instead of the individual hard panel buttons and switches.  The original static inverter battery chargers are essentially obsolete, difficult to obtain service, and will be replaced as part of this project to provide an improved charger for the inverter batteries that supply the inverter.</t>
  </si>
  <si>
    <t>JEC0720833</t>
  </si>
  <si>
    <t>J3 UPGRADE 6.9 KV SWITCHGEAR TO DCS</t>
  </si>
  <si>
    <t>JEC0800819</t>
  </si>
  <si>
    <t>JCOM MAGNETIC SEPARATORS</t>
  </si>
  <si>
    <t>Contract work for Jcom Magnetic Separators - Coal conveyor magnetic separator replacements.</t>
  </si>
  <si>
    <t>JEC0800940</t>
  </si>
  <si>
    <t>Item</t>
  </si>
  <si>
    <t>Number</t>
  </si>
  <si>
    <t>(kW)</t>
  </si>
  <si>
    <t>transferred</t>
  </si>
  <si>
    <t xml:space="preserve">The consent decree requires Westar to construct a baghouse (fabric filter) on L4 to control particulate emissions and upgrade the FGD scrubber.  This work order includes the engineering, procurement, and construction of the project.  </t>
  </si>
  <si>
    <t>THE CONSENT DECREE REQUIRES L4 BAGHOUSE AND SCRUBBER UPGRADES.</t>
  </si>
  <si>
    <t>Westar will sign a Consent Agreement on Regional Haze which will require L5 Scrubber Upgrades and the addition of a baghouse for particulate removal.  The consent decree requires Westar to construct a baghouse (fabric filter) on L5 to control particulate emissions and upgrade the FGD scrubber.  This work order includes the engineering, procurement, and construction of the project.</t>
  </si>
  <si>
    <t>Low NOx burners and separated over fire air (SOFA) will be required to meet coming EPA air quality regulations.  This project is the least costly option to meet these regulatory requirements for Nox.  As the lowest cost option the low NOx burners and SOFA system will be required within the next 3-5 years to meet regulatory requirements.</t>
  </si>
  <si>
    <t>BI 018610--T7 REPLACE CIRCULATING WATER LINES</t>
  </si>
  <si>
    <t xml:space="preserve">Tecumseh 7/9 circulating water lines will be replaced.  This 2008 project will involve slip-lining the existing 60" piping from east of the condenser to south of the 8/10 ID fans.  The 2009 portion will involve lining the remainder of the piping to the cooling tower and the 42" piping branches to the condenser waterboxes. </t>
  </si>
  <si>
    <t>Contract work for the Jcom 6.9 Kv Breaker Remote Racking - Replace the trip units on the SUS Mains and Ties for J3.</t>
  </si>
  <si>
    <t>JEC0802916</t>
  </si>
  <si>
    <t>J2 ESP REBUILD PHASE 1</t>
  </si>
  <si>
    <t>G08424S - WCNOC - Business Planning Software</t>
  </si>
  <si>
    <t>G08424T - WCNOC  - Corrective Action Software</t>
  </si>
  <si>
    <t>G08424V - WCNOC - Access Screening Software</t>
  </si>
  <si>
    <t>Contract work to replace LaCygne U2 Isophase Bus with 24,000 Amp Self-Cooled System.</t>
  </si>
  <si>
    <t xml:space="preserve">Evans Two Generator Stator, Generator Predictive Maintenance Initiative Project - Purchase and install IRIS Slot Couplers.  A penetration will need to be bored through the generator as well as fitting welded up for the termination box.  Install six slot couplers on the Exciter End of the Generator and route the wires off of these six couplers out to a termination box.  A coax cable will need to be pulled form the existing bus coupler termination box to the new stator slot coupler termination box, conduit will need to be run as well.  </t>
  </si>
  <si>
    <t>EEC0800569</t>
  </si>
  <si>
    <t>Book accrual railcar lease expense vs. actual costs for tax.</t>
  </si>
  <si>
    <t>Short Term Incentive Program</t>
  </si>
  <si>
    <t>Book accrual for short term incentives vs. actual payments for tax</t>
  </si>
  <si>
    <t>Long Term Incentive Program</t>
  </si>
  <si>
    <t>Book accrual for long term incentives (RSU's) vs. actual payments for tax</t>
  </si>
  <si>
    <t xml:space="preserve">     Total Income Tax</t>
  </si>
  <si>
    <t xml:space="preserve">   Total Working Capital</t>
  </si>
  <si>
    <t xml:space="preserve">       Cash Working Capital</t>
  </si>
  <si>
    <t>ITEM 4 - DEMAND RELATED EXPENSES</t>
  </si>
  <si>
    <t>* This calculation ensures that these expenses remain fixed until changes are accepted by FERC in a 205 or 206 filing.</t>
  </si>
  <si>
    <t xml:space="preserve">        Less: Account 501</t>
  </si>
  <si>
    <t xml:space="preserve">                 Account 503</t>
  </si>
  <si>
    <t xml:space="preserve">                 Account 504</t>
  </si>
  <si>
    <t xml:space="preserve">                 Account 510</t>
  </si>
  <si>
    <t xml:space="preserve">                 Account 512</t>
  </si>
  <si>
    <t xml:space="preserve">                 Account 513</t>
  </si>
  <si>
    <t xml:space="preserve">                 Account 518</t>
  </si>
  <si>
    <t xml:space="preserve">                 Account 521</t>
  </si>
  <si>
    <t xml:space="preserve">                 Account 522</t>
  </si>
  <si>
    <t xml:space="preserve">                 Account 528</t>
  </si>
  <si>
    <t xml:space="preserve">                 Account 530</t>
  </si>
  <si>
    <t xml:space="preserve">                 Account 531</t>
  </si>
  <si>
    <t xml:space="preserve">    Steam &amp; Nuclear Accounts [Form 1, pg. 320, ln 21 + ln 41, col. b]</t>
  </si>
  <si>
    <r>
      <t xml:space="preserve">4 </t>
    </r>
    <r>
      <rPr>
        <u/>
        <sz val="12"/>
        <rFont val="Times New Roman"/>
        <family val="1"/>
      </rPr>
      <t>A&amp;G O&amp;M</t>
    </r>
  </si>
  <si>
    <t xml:space="preserve"> Total</t>
  </si>
  <si>
    <r>
      <t xml:space="preserve">5 </t>
    </r>
    <r>
      <rPr>
        <u/>
        <sz val="12"/>
        <rFont val="Times New Roman"/>
        <family val="1"/>
      </rPr>
      <t>Depreciation Expense</t>
    </r>
  </si>
  <si>
    <t xml:space="preserve">     Current Income Tax Calculation ( Return  x  CIT ) [Return is from Item 2, line 1]</t>
  </si>
  <si>
    <r>
      <t>1</t>
    </r>
    <r>
      <rPr>
        <u/>
        <sz val="12"/>
        <rFont val="Times New Roman"/>
        <family val="1"/>
      </rPr>
      <t xml:space="preserve"> VOM Cost</t>
    </r>
  </si>
  <si>
    <t>VOM (VARIABLE O&amp;M) CALCULATION</t>
  </si>
  <si>
    <t>ECOM RO MEMBRANE REPLACEMENT/UPGRAD</t>
  </si>
  <si>
    <t>Contract work for the GEEC Ecom RO Membrane Replacement/Upgrade -  Gordon Evans has a 400 gallon, two pass, Osmonics - Reverse Osmosis (RO) system for filtration of water used for the boiler make up water and for power augmentation in the Combustion Turbines.  The RO system is made up of two - 200 gallon units.  There are sixty six - first pass membranes in each unit for a total of 132 membranes in the first pass.  The 132 first pass membranes will be replaced with an upgraded membrane that offers greater filtration.</t>
  </si>
  <si>
    <t>EEC0800914</t>
  </si>
  <si>
    <t>E2 CONTROL VALVE UPGRADES</t>
  </si>
  <si>
    <t>Contract work for the E2 Control Valve Upgrades GEC #2 - Replace control valves for Superheat spray valves, reheat spray valves and gland steam control valves and add tri-loops for positive valve position indication.</t>
  </si>
  <si>
    <t>EEC0800947</t>
  </si>
  <si>
    <t>ECOM BACKUP AIR COMPRESSOR UPGRADE</t>
  </si>
  <si>
    <t xml:space="preserve">  See "YTM Bond Workpaper."</t>
  </si>
  <si>
    <t>Book accrual for long term incentives vs. actual payments for tax</t>
  </si>
  <si>
    <t>Reg Liab #6 Oil Sale</t>
  </si>
  <si>
    <t xml:space="preserve">Book accrual for refund to customers for gain on sale of #6 oil; not recognized for tax </t>
  </si>
  <si>
    <t>Property Insurance -Transm</t>
  </si>
  <si>
    <t>Book accrual for property insurance vs. actual costs for tax - Transmission allocation</t>
  </si>
  <si>
    <t>Environmental Reserve - Transm</t>
  </si>
  <si>
    <t>Book accrual for environmental reserve vs. actual costs for tax - Transmission allocation</t>
  </si>
  <si>
    <t>Inj &amp; Damages R/L Transm</t>
  </si>
  <si>
    <t>Book accrual for 3rd party injuries and damages vs. actual costs for tax - Transmission allocation</t>
  </si>
  <si>
    <t>Alma, KS</t>
  </si>
  <si>
    <t>Robinson, KS</t>
  </si>
  <si>
    <t>Troy, KS</t>
  </si>
  <si>
    <t>Vermillion, KS</t>
  </si>
  <si>
    <t>Wathena, KS</t>
  </si>
  <si>
    <t>Kansas Electric Power Cooperative, Inc.</t>
  </si>
  <si>
    <t>Mulberry, KS</t>
  </si>
  <si>
    <t>Bronson, KS</t>
  </si>
  <si>
    <t>suspended</t>
  </si>
  <si>
    <t>cancelled</t>
  </si>
  <si>
    <t>REPLACE CHECK VALVE #LBV0001</t>
  </si>
  <si>
    <t>WARNING BARRIERS AT MAIN GATE NORTH</t>
  </si>
  <si>
    <t>RIP RAP AT EISENHOWER LAGOON</t>
  </si>
  <si>
    <t>(15)</t>
  </si>
  <si>
    <t>(16)</t>
  </si>
  <si>
    <t>(17)</t>
  </si>
  <si>
    <t>N/A</t>
  </si>
  <si>
    <t>Work Request</t>
  </si>
  <si>
    <t>Account</t>
  </si>
  <si>
    <t>Added</t>
  </si>
  <si>
    <t xml:space="preserve">    Account 281</t>
  </si>
  <si>
    <t>EEC0705349</t>
  </si>
  <si>
    <t>(h)</t>
  </si>
  <si>
    <t>(i)</t>
  </si>
  <si>
    <t>Choose</t>
  </si>
  <si>
    <t>Effective</t>
  </si>
  <si>
    <t>Is Issuer /Lender</t>
  </si>
  <si>
    <t>Net Amount</t>
  </si>
  <si>
    <t>Days/Mos/Qtrs</t>
  </si>
  <si>
    <t>Average Net</t>
  </si>
  <si>
    <t>Debt Cost</t>
  </si>
  <si>
    <t>an</t>
  </si>
  <si>
    <t>ORIGINAL</t>
  </si>
  <si>
    <t>Outstanding</t>
  </si>
  <si>
    <t>Affiliate?</t>
  </si>
  <si>
    <t>Issue Date</t>
  </si>
  <si>
    <t>Maturity Date</t>
  </si>
  <si>
    <t>ISSUANCE</t>
  </si>
  <si>
    <t>within Year</t>
  </si>
  <si>
    <t>Ratios</t>
  </si>
  <si>
    <t>(g) * (h)</t>
  </si>
  <si>
    <t>Long Term Debt Cost at Year Ended:</t>
  </si>
  <si>
    <t>(1)</t>
  </si>
  <si>
    <t>No</t>
  </si>
  <si>
    <t>(2)</t>
  </si>
  <si>
    <t>(3)</t>
  </si>
  <si>
    <t>(4)</t>
  </si>
  <si>
    <t>(5)</t>
  </si>
  <si>
    <t>(6)</t>
  </si>
  <si>
    <t>(7)</t>
  </si>
  <si>
    <t>(8)</t>
  </si>
  <si>
    <t>(9)</t>
  </si>
  <si>
    <t>(10)</t>
  </si>
  <si>
    <t>(11)</t>
  </si>
  <si>
    <t>(12)</t>
  </si>
  <si>
    <t>(13)</t>
  </si>
  <si>
    <t>(14)</t>
  </si>
  <si>
    <t xml:space="preserve">     T =  1 - ( ( ( 1 - SIT ) * ( 1 - FIT ) ) / ( 1 - SIT * FIT * p ) )  =</t>
  </si>
  <si>
    <t xml:space="preserve">     CIT = ( T / ( 1-T ) ) * ( 1 -  WCLTD / R  ) =</t>
  </si>
  <si>
    <t>Depreciation - Non Cost of Services</t>
  </si>
  <si>
    <t>ENERGY CENTER MISC TOOLS &amp; SMALL PR</t>
  </si>
  <si>
    <t>Energy Center Misc Tools &amp; Small Pr - Required to cover the installation of accelerometers on Murray Gill Energy Center #3 cooling tower.</t>
  </si>
  <si>
    <t>EEC0800290</t>
  </si>
  <si>
    <t>MISC TOOLS AND SMALL PROJECTS</t>
  </si>
  <si>
    <t>Misc Tools and Small Projects</t>
  </si>
  <si>
    <t>EEC0800701</t>
  </si>
  <si>
    <t>MGEC4 CEM REPLACEMENT PROJECT</t>
  </si>
  <si>
    <t>Contract work for the G4 CEM Replacement - MGEC4 CEM Replacement Project includes a CO2 Analyzer, Stack Probe, Umbilical bundle, Absolute pressure transmitter and associated software changes.</t>
  </si>
  <si>
    <t>EEC0800709</t>
  </si>
  <si>
    <t>MGEC3 CEMS REPLACEMENT PROJECT</t>
  </si>
  <si>
    <t>Contract work for the G3 CEM Replacement Project - MGEC3 CEMS Replacement Project includes a CO2 Analyzer, Stack Probe, Umbilical bundle, Absolute pressure transmitter and associated software changes.</t>
  </si>
  <si>
    <t>EEC0801801</t>
  </si>
  <si>
    <t>GCOM AIR COMPRESSOR UPGRADE</t>
  </si>
  <si>
    <t>Contract work for the Gcom Air Compressor Upgrade - Upgrade the Control Air System by installing a 100 HP rotary screw type air compressor with a capacity of 500 SCFM @ 100 PSIG, Control Air Compressor #4 will be dismantled and the new compressor installed in its place.  New tie piping to be installed between the units and a new control air dryer as well.</t>
  </si>
  <si>
    <t>EEC0701220</t>
  </si>
  <si>
    <t>WATER QUALITY</t>
  </si>
  <si>
    <t>G08424A - WCNOC -Work Controls Software System Curator</t>
  </si>
  <si>
    <t>G08424B - WCNOC - Software for Engineering Info System</t>
  </si>
  <si>
    <t>G08424D - WCNOC - Miscrosoft Office 2000 Software</t>
  </si>
  <si>
    <t>G08424E - WCNOC - License renewal and plant aging</t>
  </si>
  <si>
    <t>G08424F - WCNOC - Effluent management software</t>
  </si>
  <si>
    <t>G08424G - WCNOC - Beacon Software</t>
  </si>
  <si>
    <t>G08424H - WCNOC - Health Physics Computer Software</t>
  </si>
  <si>
    <t>G08424J -  WCNOC - Engineering SER Software Pack</t>
  </si>
  <si>
    <t>G08424M - WCNOC - Intangible Misc.</t>
  </si>
  <si>
    <t>G08424N - WONOC - Oracle Network License</t>
  </si>
  <si>
    <t>G08424O - WCNOC - Intangible Misc.</t>
  </si>
  <si>
    <t>G08424P - WCNOC - Intangible Misc.</t>
  </si>
  <si>
    <t>G08424U - WCNOC - ETAP Power Systems Software</t>
  </si>
  <si>
    <t>Contract work for T8 LTSH Replacement - The TEC 8/10 boiler low temperature superheater has experienced several overheating related tube failures.  According to the sample analysis, the assemblies are at the end of their useful life and require replacement.</t>
  </si>
  <si>
    <t>TEC0800275</t>
  </si>
  <si>
    <t>T-7, A-5 WALLBLOWER: MODEL RW-2</t>
  </si>
  <si>
    <t>T-7, A-5 Wallblower:  Model RW-2, with a model RW-5 - Replacement of equipment as one becomes available.  Current equipment is no longer working and is unrepairable.</t>
  </si>
  <si>
    <t>TEC0800624</t>
  </si>
  <si>
    <t>T-7 CEM REPLACEMENT PROJECT</t>
  </si>
  <si>
    <t>Contract work for J2 BCP Filters - Boiler Circulating Pump (BCP) motor failures have been a big problem.  When a motor fails in operation, we are forced to derate to 90% MCR until an outage.  A 2 day outage is then required to replace the pump with a spare, to avoid a continued derate.  There is also the cost of about $80,000 to remove the failed pump, reinstall a spare pump, and have the failed pump/motor rebuilt/rewound.  Magnetite deposits (iron debris) are found in the motor cavity, which is believed to be the cause of much of the problem.</t>
  </si>
  <si>
    <t>LaCygne CO2 Emission Reduction - Preliminary engineering to determine the scope of projects to reduce CO2 by 711,000 tons companywide.</t>
  </si>
  <si>
    <t xml:space="preserve"> 7003204</t>
  </si>
  <si>
    <t>LACYGNE ENVIRONMENTAL UPGRADE</t>
  </si>
  <si>
    <t>1070002</t>
  </si>
  <si>
    <t>A27502</t>
  </si>
  <si>
    <t xml:space="preserve">ENERGY CENTER VOICE NETWORK SYSTEM </t>
  </si>
  <si>
    <t>Contract work to fix network to Fuel Crew equipment - This was a purchase of new network equipment and installation, one Nortel gig switch for TEC.</t>
  </si>
  <si>
    <t>A29962</t>
  </si>
  <si>
    <t>Allocated ITC for utility net income  (Sum lines 1 through 3)</t>
  </si>
  <si>
    <t>Counterparty</t>
  </si>
  <si>
    <t>Energy</t>
  </si>
  <si>
    <r>
      <t xml:space="preserve">WORKSHEET S, DEPRECIATION RATES </t>
    </r>
    <r>
      <rPr>
        <b/>
        <vertAlign val="superscript"/>
        <sz val="16"/>
        <rFont val="Times New Roman"/>
        <family val="1"/>
      </rPr>
      <t>1</t>
    </r>
  </si>
  <si>
    <t>NEC Water Quality equipment - Installation of water quality upgrade equipment.</t>
  </si>
  <si>
    <t>EEC0800296</t>
  </si>
  <si>
    <t xml:space="preserve">Misc Tools and Small Project for NEC - The purpose of this project is for the purchase of replacement tools and miscellaneous equipment at Neosho Energy Center.  </t>
  </si>
  <si>
    <t>EEC0805417</t>
  </si>
  <si>
    <t>NEC GSU TRANSFORMER REWIND</t>
  </si>
  <si>
    <t>005945</t>
  </si>
  <si>
    <t>009819</t>
  </si>
  <si>
    <t>009890</t>
  </si>
  <si>
    <t>010279</t>
  </si>
  <si>
    <t>011018</t>
  </si>
  <si>
    <t>011347</t>
  </si>
  <si>
    <t>011354</t>
  </si>
  <si>
    <t>011373</t>
  </si>
  <si>
    <t>011415</t>
  </si>
  <si>
    <t>011504</t>
  </si>
  <si>
    <t>011607</t>
  </si>
  <si>
    <t>011613</t>
  </si>
  <si>
    <t>011868</t>
  </si>
  <si>
    <t>011904</t>
  </si>
  <si>
    <t>012135</t>
  </si>
  <si>
    <t>012192</t>
  </si>
  <si>
    <t>012327</t>
  </si>
  <si>
    <t>012348</t>
  </si>
  <si>
    <t>012366</t>
  </si>
  <si>
    <t>012413</t>
  </si>
  <si>
    <t>012444</t>
  </si>
  <si>
    <t>012485</t>
  </si>
  <si>
    <t>012503</t>
  </si>
  <si>
    <t>012504</t>
  </si>
  <si>
    <r>
      <t xml:space="preserve">Work Request </t>
    </r>
    <r>
      <rPr>
        <vertAlign val="superscript"/>
        <sz val="10"/>
        <rFont val="Arial"/>
        <family val="2"/>
      </rPr>
      <t>1</t>
    </r>
  </si>
  <si>
    <r>
      <t xml:space="preserve">Customer </t>
    </r>
    <r>
      <rPr>
        <u/>
        <vertAlign val="superscript"/>
        <sz val="14"/>
        <rFont val="Times New Roman"/>
        <family val="1"/>
      </rPr>
      <t>1</t>
    </r>
  </si>
  <si>
    <r>
      <t xml:space="preserve">by GFR Customers </t>
    </r>
    <r>
      <rPr>
        <u/>
        <vertAlign val="superscript"/>
        <sz val="14"/>
        <rFont val="Times New Roman"/>
        <family val="1"/>
      </rPr>
      <t>2</t>
    </r>
  </si>
  <si>
    <r>
      <t xml:space="preserve">VOM Energy Credit </t>
    </r>
    <r>
      <rPr>
        <u/>
        <vertAlign val="superscript"/>
        <sz val="14"/>
        <rFont val="Times New Roman"/>
        <family val="1"/>
      </rPr>
      <t>3</t>
    </r>
  </si>
  <si>
    <t>[to Item 5 Footnote 1]</t>
  </si>
  <si>
    <t>Investment Tax Credit (Form 1, pg. 266, ln. 8, col. f)</t>
  </si>
  <si>
    <t>[to Item 4, ln. 4]</t>
  </si>
  <si>
    <t>[ to Item 2, ln. 8 ]</t>
  </si>
  <si>
    <t>VOM AND OSSM</t>
  </si>
  <si>
    <t>Contract work for L3 SH Replacement - Replace L3 SH including Final SH Assemblies, two banks of Initial Stage SH, Initial Stage inlet headers, Initial Stage SH outlet header, connecting link between initial stage SH outlet header and final SH inlet header including desuperheater, Final SH inlet header, Final SH outlet header, Final SH water cooled spacer tube, Roof Tubes at Final SH, and the roof casing at Final SH.  L3 SH is near the end of its useful life as indicated by air tube metallurgical analysis and tube temperature modeling (from the RH replacement project).  The SH is original and is 50 years old.</t>
  </si>
  <si>
    <t>Contract work for L3 TWIP's Equipment Phase 1 - Phase 1 will include engineering/design/purchasing functions of the project to install TWIP's equipment.  Turbine water induction is a major source of lost generation in the power industry.  This project will install Black and Veatch's priority 1 turbine water induction protection equipment during LEC Unit 3's major outage in 2006.  B&amp;V's priority 1 items address current areas where there are no provisions for water detection, no provisions to capture and drain water and the perceived risk of water induction is high.</t>
  </si>
  <si>
    <t>Account 547</t>
  </si>
  <si>
    <t>Plus:</t>
  </si>
  <si>
    <t xml:space="preserve">                    Total</t>
  </si>
  <si>
    <t>J3 REA Arc Flash Protection Project - Contract work for the installation of an REA Arc Flash protection system in addition to our current relay/breaker tripping system.  The new system will allow for faster tripping of the relays by using arc flash detection (Light Detection) in coordination with current sensing CT's that will be placed on the bus.  The new system will be retrofitted to work with our current Westinghouse DSP switchgear.</t>
  </si>
  <si>
    <t>JEC0814618</t>
  </si>
  <si>
    <t>JCOM COAL CONVEYOR CHUTE UPGRADES</t>
  </si>
  <si>
    <t>Jcom Coal Conveyor Chute Upgrades - Transfer Building 1 Chute Redundancy Study which is part of the coal chutes all being replaced in 2010.</t>
  </si>
  <si>
    <t>JEC0818019</t>
  </si>
  <si>
    <t>JCOM COAL CONVEYOR BELT REPLACEMENT</t>
  </si>
  <si>
    <t>Contract work for the Jcom Coal Conveyor Belt Replacement - 202 Cascade Conveyor Belting - Belt is to be replaced due to there being a deep groove in the middle of this conveyor belt.</t>
  </si>
  <si>
    <t>JEC0818640</t>
  </si>
  <si>
    <t>JEC 123 FGD UPGRADE</t>
  </si>
  <si>
    <t>Contract work for the JEC 123 Flue Gas Desulfurization Upgrade - As a result of the permitting process for the FGD Rebuild project, the blowdown water from the dewatering building is required to be treated.  Contract work includes the engineering, procurement, and construction of the Blowdown Treatment Building.</t>
  </si>
  <si>
    <t>JEC0818707</t>
  </si>
  <si>
    <t>J3 ESP REBUILD PHASE 1</t>
  </si>
  <si>
    <t>Contract work for T7 Turbine Protective Devices Upgrades - This project will replace the turbine trip bolt and upgrade the turbine trip devices with modern tridundent equipment.  This will also provide the ability to test the turbine protective tripping devices.  The pricing also includes training for the operators on the new system.</t>
  </si>
  <si>
    <t xml:space="preserve">AFUDC recorded on books not subject to tax requirements for capitalization per Code Sec 263A.   </t>
  </si>
  <si>
    <t>Cost of removal charged to accumulated depreciation reserve for book purposes but expensed for tax.</t>
  </si>
  <si>
    <t>Income Tax Audit Fees</t>
  </si>
  <si>
    <t>Balance of book vs. tax difference related to previous income tax audit fees</t>
  </si>
  <si>
    <t>Swap Fees</t>
  </si>
  <si>
    <t>Balance of book vs. tax difference related to swap fees (hedging fees)</t>
  </si>
  <si>
    <t>Accumulated Deferred Income Tax  Other Non Utility</t>
  </si>
  <si>
    <t>NonGeneration</t>
  </si>
  <si>
    <t>Generation</t>
  </si>
  <si>
    <t>Withheld and sold by EPA.  Recorded as regulatory liability on books; recognized as capital gain for tax.</t>
  </si>
  <si>
    <t>Legal expenses accrued on books vs. actual payments for tax</t>
  </si>
  <si>
    <t>Tax Credit Carryover</t>
  </si>
  <si>
    <t>General business credits to be utilized in future years</t>
  </si>
  <si>
    <t>TCOM FIRE PROTECTION SYSTEM UPGRADE</t>
  </si>
  <si>
    <t>Contract work for Tcom Fire Protection System Upgrade - Install fire protection deluge sprinkler system on start-up reserve transformer.  TX-81.</t>
  </si>
  <si>
    <t>TEC0802576</t>
  </si>
  <si>
    <t>T7 LOW NOX AND SOFA UPGRADE</t>
  </si>
  <si>
    <t xml:space="preserve"> [to Item 5, line 7]</t>
  </si>
  <si>
    <t xml:space="preserve">   C)  VOM Revenue Credit</t>
  </si>
  <si>
    <t>VOM Charges Paid</t>
  </si>
  <si>
    <r>
      <t>2</t>
    </r>
    <r>
      <rPr>
        <sz val="12"/>
        <rFont val="Times New Roman"/>
        <family val="1"/>
      </rPr>
      <t xml:space="preserve"> For each GFR customer, this amount shall be equal to the VOM component of the Energy Charge, multiplied by the GFR</t>
    </r>
  </si>
  <si>
    <t>(c = a - b)</t>
  </si>
  <si>
    <t>(f = d - e)</t>
  </si>
  <si>
    <r>
      <t>1</t>
    </r>
    <r>
      <rPr>
        <sz val="12"/>
        <rFont val="Times New Roman"/>
        <family val="1"/>
      </rPr>
      <t xml:space="preserve"> RECA = Retail Energy Cost Adjustment</t>
    </r>
  </si>
  <si>
    <t>Contract work for T7 Mercury CEM - (TEC0700117) The Clean Air Mercury Rule requires the installation and certification of a mercury continuous emission monitor (CEM) no later than 01/01/09.  This project also includes costs for start-up assistance from the mercury CEM vendor, reconfiguration of the existing DAHS software to receive output from the mercury CEM, and certification testing of the mercury CEM.</t>
  </si>
  <si>
    <t>TEC0705715</t>
  </si>
  <si>
    <t>T8 COAL MILL PLATFORMS</t>
  </si>
  <si>
    <t>Contract work for T8 Coal Mill Platforms - Permanent platforms to be installed on the TEC 8/10 coal mills to decrease the likelihood of falls while performing coal mill maintenance.</t>
  </si>
  <si>
    <t>[to Item 2, ln. 1] and</t>
  </si>
  <si>
    <t>[to Item 4, Footnote 7]</t>
  </si>
  <si>
    <r>
      <t xml:space="preserve">         ii)  Ancillary Services [Form 1, pg. 398, lns. 2 - 6, col. g</t>
    </r>
    <r>
      <rPr>
        <sz val="14"/>
        <rFont val="Times New Roman"/>
        <family val="1"/>
      </rPr>
      <t>]</t>
    </r>
  </si>
  <si>
    <t>Contract work for NEC GSU Transformer Rewind - Support for repair on NEC main transformer.  An internal inspection revealed the presence of insulating materials, verifying that the transformer had experienced a winding failure.  The failed transformer serves a dual purpose.  It is a 69kV/138kV auto transformer with a 12.5kV tertiary winding that serves as the Neosho GSU.  This project is to rewind the failed transformer and place it back in service.</t>
  </si>
  <si>
    <t xml:space="preserve"> 7003189</t>
  </si>
  <si>
    <t>CO2 EMISSION REDUCTION</t>
  </si>
  <si>
    <t xml:space="preserve">   1                                                         -                                                               -</t>
  </si>
  <si>
    <t xml:space="preserve">   2                                                         -                                                               -</t>
  </si>
  <si>
    <t>T7 REPLACE CIRCULATING WATER LINES</t>
  </si>
  <si>
    <t>TEC0705945</t>
  </si>
  <si>
    <t>T8 LTSH REPLACEMENT</t>
  </si>
  <si>
    <t xml:space="preserve">ITEM 5 - VOM AND OSSM </t>
  </si>
  <si>
    <t xml:space="preserve">   Long Term Debt</t>
  </si>
  <si>
    <t>Component</t>
  </si>
  <si>
    <t>WEIGHTED COST OF CAPITAL</t>
  </si>
  <si>
    <r>
      <t>2</t>
    </r>
    <r>
      <rPr>
        <u/>
        <sz val="12"/>
        <rFont val="Times New Roman"/>
        <family val="1"/>
      </rPr>
      <t xml:space="preserve"> Preferred Stock</t>
    </r>
  </si>
  <si>
    <t xml:space="preserve">       Preferred Stock cost  =  Preferred Dividends / Preferred Stock</t>
  </si>
  <si>
    <r>
      <t>3</t>
    </r>
    <r>
      <rPr>
        <u/>
        <sz val="12"/>
        <rFont val="Times New Roman"/>
        <family val="1"/>
      </rPr>
      <t xml:space="preserve"> Common Stock</t>
    </r>
  </si>
  <si>
    <t xml:space="preserve">   A)  Gross Plant (GP), Amounts in Thousands</t>
  </si>
  <si>
    <t xml:space="preserve">   B)  Net Plant (NP), Amounts in Thousands</t>
  </si>
  <si>
    <t>REVENUE CREDITS</t>
  </si>
  <si>
    <t xml:space="preserve">   A)  Demand Charge Divisor</t>
  </si>
  <si>
    <t>Property Insurance - Transm</t>
  </si>
  <si>
    <t>Inj &amp; Damages R/L - Transm</t>
  </si>
  <si>
    <t>EEC0707015</t>
  </si>
  <si>
    <t>Difference</t>
  </si>
  <si>
    <t xml:space="preserve">       Other Power Supply Accounts [Form 1, pg. 321, ln. 79, col. b]</t>
  </si>
  <si>
    <t>Account 555 [Form 1, pg. 321, ln. 76, col. b]</t>
  </si>
  <si>
    <t>GEEC South Plant Misc. Tools and Small Projects - Purchase and replacement of tools and miscellaneous equipment.  The  miscellaneous equipment includes:  Composer SCSI upgrade, DAS power supply upgrade, new electrical test panel in electrical shop and sand filtration for water supply.</t>
  </si>
  <si>
    <t>EEC0800491</t>
  </si>
  <si>
    <t>GENERATOR PREDICTIVE MAINTENANCE</t>
  </si>
  <si>
    <t>Contract work for an Environmental Upgrade - Continue the selection, design, and procurement processes to maintain the scope and timeframe for construction optionality.</t>
  </si>
  <si>
    <t xml:space="preserve"> 7003205</t>
  </si>
  <si>
    <t>AQCS LO PRJ MGMT 7 ADMIN</t>
  </si>
  <si>
    <t>LaCygne AQCS LO Project Management 7 Admin - Continue the selection, design, and procurement processes to maintain the scope and timeframe for construction optionality.</t>
  </si>
  <si>
    <t xml:space="preserve"> 7003206</t>
  </si>
  <si>
    <t>LACYGNE SITE PREPARATION</t>
  </si>
  <si>
    <t>Contract work to continue the selection, design, and procurement processes to maintain the scope and timeframe for construction optionality.</t>
  </si>
  <si>
    <t xml:space="preserve"> 7003208</t>
  </si>
  <si>
    <t>WAREHOUSE REPLACEMENT</t>
  </si>
  <si>
    <t>Contract work for the replacement of warehouse.</t>
  </si>
  <si>
    <t xml:space="preserve"> 7009195</t>
  </si>
  <si>
    <t>Contract work for the replacement of more than 10 percent of waterwalls including the floor.</t>
  </si>
  <si>
    <t xml:space="preserve"> 7103201</t>
  </si>
  <si>
    <t>REHEATER/SUPERHEATER REPLACEMENT</t>
  </si>
  <si>
    <t>Contract work to replace the L1 horizontal reheater (HRH) inlet header, the 206 horizontal reheater inlet, intermediate, and outlet elements, and the 207 primary superheater (PSH) elements.</t>
  </si>
  <si>
    <t xml:space="preserve"> 7103202</t>
  </si>
  <si>
    <t>AQCS PROJ MGT &amp; ADMIN</t>
  </si>
  <si>
    <t>Contract work for the La Cygne Unit 1 AQCS environmental upgrade administrative project.</t>
  </si>
  <si>
    <t xml:space="preserve"> 7103209</t>
  </si>
  <si>
    <t>L1 GAS RECIRCULATION</t>
  </si>
  <si>
    <t>Contract work to install new GR fan rotors for 'A' and 'C' GR fans and making modifications to the GR inlet flues to minimize ash carryover.</t>
  </si>
  <si>
    <t xml:space="preserve"> 7103210</t>
  </si>
  <si>
    <t>OSHA REQUIRED SAFETY GATES</t>
  </si>
  <si>
    <t>Contract work for the installation of OSHA required safety gates on landings.</t>
  </si>
  <si>
    <t xml:space="preserve"> 7103211</t>
  </si>
  <si>
    <t>MV CABLE REPLACEMENT</t>
  </si>
  <si>
    <t>Contract work to replace the medium voltage (MV-7kV) cable and associated control cables from the AQC switchgear building to the Clearwater return building.</t>
  </si>
  <si>
    <t xml:space="preserve"> 7103212</t>
  </si>
  <si>
    <t>L1 HOT REHEAT STEAM LINE REPL</t>
  </si>
  <si>
    <t>Contract work for the removal and replacement of the Hot Reheat Steam Line System and a corresponding hanger support system.</t>
  </si>
  <si>
    <t xml:space="preserve"> 7103225</t>
  </si>
  <si>
    <t>CATALYST FABRICATION MODIFICATION</t>
  </si>
  <si>
    <t>Contract work to replace LaCygne U1 Catalyst.</t>
  </si>
  <si>
    <t xml:space="preserve"> 7107489</t>
  </si>
  <si>
    <t>PIPING FOR PERFORMING HYDRO</t>
  </si>
  <si>
    <t>New 2" piping for performing hydro from level 10-1/2 to ground floor.</t>
  </si>
  <si>
    <t xml:space="preserve"> 7109229</t>
  </si>
  <si>
    <t>SEC PERSONNEL PROTECTION</t>
  </si>
  <si>
    <t>Contract work for the addition of pull cord switches and E-stops to the SFCs on LaCygne Unit 1 to comply with ASME B20.1.</t>
  </si>
  <si>
    <t xml:space="preserve"> 7109249</t>
  </si>
  <si>
    <t>L1 CEM ANALYZER REPL</t>
  </si>
  <si>
    <t>Purchase and install new dual range NOx and CO2 analyzers for the L1 CEM.</t>
  </si>
  <si>
    <t xml:space="preserve"> 7109252</t>
  </si>
  <si>
    <t>BALL MILL MOTOR</t>
  </si>
  <si>
    <t>Contract work to replace the 1B ball mill motor.</t>
  </si>
  <si>
    <t xml:space="preserve"> 7109253</t>
  </si>
  <si>
    <t>VACUUM PUMP REPLACEMENT</t>
  </si>
  <si>
    <t>Contract work to replace the 1B vacuum pump on the L1 waterbox.</t>
  </si>
  <si>
    <t xml:space="preserve"> 7109255</t>
  </si>
  <si>
    <t>STORAGE TANK MIXER</t>
  </si>
  <si>
    <t>Contract work to replace the #1B AQC storage tank mixer.</t>
  </si>
  <si>
    <t xml:space="preserve"> 7109256</t>
  </si>
  <si>
    <t>TRANSFER PUMP</t>
  </si>
  <si>
    <t>Contract work to replace the LaCygne Unit 1 clearwell transfer pump.</t>
  </si>
  <si>
    <t xml:space="preserve"> 7109257</t>
  </si>
  <si>
    <t>SOOTBLOWERS CABLES</t>
  </si>
  <si>
    <t>Contract work to replace the L1 IR sootblower control cable.</t>
  </si>
  <si>
    <t xml:space="preserve"> 7109258</t>
  </si>
  <si>
    <t>WINDBOX DRAIN PLATFORMS</t>
  </si>
  <si>
    <t>Contract work to install L1 windbox drain platforms.</t>
  </si>
  <si>
    <t xml:space="preserve"> 7109293</t>
  </si>
  <si>
    <t>AQC CABINETS REPLACE</t>
  </si>
  <si>
    <t>Contract work to replace the LaCygne Unit 1 AQC reheat bundles on two modules.</t>
  </si>
  <si>
    <t xml:space="preserve"> 7109296</t>
  </si>
  <si>
    <t>AQC PERSONNEL SAFETY SYSTEM</t>
  </si>
  <si>
    <t>Contract work to install a new personnel safety system in the AQC modules.</t>
  </si>
  <si>
    <t xml:space="preserve"> 7109297</t>
  </si>
  <si>
    <t>AQC BALL MILL LINER REPLACE</t>
  </si>
  <si>
    <t>Contract work to replace the LaCygne Unit 1 AQC ball mill liner.</t>
  </si>
  <si>
    <t xml:space="preserve"> 7109302</t>
  </si>
  <si>
    <t>L1 ECH FILTER UNIT</t>
  </si>
  <si>
    <t>Contract work to install a filter unit for the EHC fluid for turbine control valves.</t>
  </si>
  <si>
    <t xml:space="preserve"> 7109310</t>
  </si>
  <si>
    <t>B&amp;C ID FAN INLET DAMP DR CONTROL</t>
  </si>
  <si>
    <t>Contract work to replace B and C induced draft fan inlet damper drive control.</t>
  </si>
  <si>
    <t xml:space="preserve"> 7109318</t>
  </si>
  <si>
    <t>L1 BALL MILL FEEDER BELT REPL</t>
  </si>
  <si>
    <t>Contract work to replace the AQC ball mill "B" feeder belt.</t>
  </si>
  <si>
    <t xml:space="preserve"> 7109320</t>
  </si>
  <si>
    <t>BFP RECIRC VALVE REPLACE</t>
  </si>
  <si>
    <t>Contract work to replace the LaCygne 1 boiler feed pump recirculating valves.</t>
  </si>
  <si>
    <t xml:space="preserve"> 7109325</t>
  </si>
  <si>
    <t>SCR SONICE HORN HEAT TRACE</t>
  </si>
  <si>
    <t>Contract work to add heat trace to LaCygne Unit 1 SCR sonic horns.</t>
  </si>
  <si>
    <t xml:space="preserve"> 7109327</t>
  </si>
  <si>
    <t>SCR DRY EIGHT CONV PLATFORMS</t>
  </si>
  <si>
    <t xml:space="preserve"> 7109329</t>
  </si>
  <si>
    <t>MODULE DEMISTER TRAYS</t>
  </si>
  <si>
    <t>Contract work to replace C module AQC demister trays.</t>
  </si>
  <si>
    <t xml:space="preserve"> 7203187</t>
  </si>
  <si>
    <t>L2 ENVIRONMENTAL UPGRADES</t>
  </si>
  <si>
    <t>Engineering costs associated with the development, issue, and award of the contract to install the LaCygne Unit 2 SCR.</t>
  </si>
  <si>
    <t xml:space="preserve"> 7203190</t>
  </si>
  <si>
    <t>LAC #2 BUS COOLING SYSTEM</t>
  </si>
  <si>
    <t>Engineering services for the Jeffrey Energy Center (JEC) Unit 2 Fluidize Gas Desulfurization Systems (FGD).  The FGD on the Unit 2 needs to have major upgrades and modifications in order to remove 95% of the SO2.  This is important for New Source Review discussions with EPA.  Clean Air Visibility Rules will also require a reduction in SO2 emissions.  This FGD upgrade will also help in mercury removal.  The project will require new ID fan rotors and 8,500 horsepower motors.  New Slurry pumps, motors, piping, mist eliminators, absorber trays, agitators, alloy inlet duct, carbon steel inlet duct, cladded outlet duct, electric switchgear, transformers, motor control centers, substation equipment, CEMS, and tanks are required.  Chimney modifications and new reaction tank linings are also required.</t>
  </si>
  <si>
    <t>Engineering services for JEC FGD common facilities.  (JEC0610125 - Contract work for JEC FGD common facilities.  The project will require new ball mill system, vacuum filters, primary dewatering, material handling, tanks, agitators, slurry pumps and dewatering building.)  Also see JEC0605973.</t>
  </si>
  <si>
    <t>Contract work for the J2 ESP Rebuild Phase 1 - Rebuild of the Unit 2 Electrostatic precipitator, including materials and labor.</t>
  </si>
  <si>
    <t>J2 Cooling Tower SUS Building and Switchgear Replacement - This project would replace the cooling tower switchgear sheds along with the equipment inside for better productivity and future expandability that will ensure smooth operation of the cooling towers.  With these upgrades in place, there will be room for future improvements that increase the efficiency of the plant and also the power output.</t>
  </si>
  <si>
    <t>Contract work for Jcom Fuel Yard Dust Surfactant Upgrade - Install temporary dust surfactant at three different locations in the fuel yard.  One system will be located at the load zone of the ESO conveyor belt.  A second will be placed at ground level of the emergency reclaim conveyor.  The third will inject chemical into the existing water supply line of the dumper building dust processor.  The goal of the project is to reduce the amount of fugitive dust created at the ESO chute and stacker/reclaimers.  As stated in the new title five permit, the opacity from these three locations needs to remain under 20% opacity.</t>
  </si>
  <si>
    <t>Contract work for the GEEC E2 Generator Upgrade - This unit has maintenance issues which include rotor winding insulation material, rotor radial seals, end winding and parallel ring looseness, hydrogen coolers and seal oil system.  The scope of work for this generator overhaul is a complete inspection and electrical and mechanical testing of the generator rotor and stator rotorbore inspection (to verify forging integrity), replacement of the rotor retaining rings (18/18 rings) and modification of the retaining rings and refurbishment of exciter.</t>
  </si>
  <si>
    <t>Contract work for the Scarpelli E2 Economizer Adjustable Support Installation - Upgrade the support structure of the Evans 2 economizer by installing adjustable supports.  There are currently 15 I-beams providing support to the Evans 2 economizer.  Contract work to install 105 engineered and fabricated adjustable supports.  The economizer will be periodically checked and the adjustable supports adjusted as necessary to provide optimal support.</t>
  </si>
  <si>
    <t>LaCygne Unit 2 AQCS administrative project.</t>
  </si>
  <si>
    <t>Contract work to add work platforms to LaCygne Unit 1 SCR dry flight conveyors.</t>
  </si>
  <si>
    <t>Contract work for T7 Low NOx and SOFA Upgrade - Install low NOx burners, SOFA &amp; neural net on T7 to meet environmental requirements.  It will involve pulling control cable and configuring the controls to allow each fuel air and aux air damper to be controlled individually, and coal &amp; air flow to be measured at each compartment.  A neural net will be installed to further reduce NOx emissions.</t>
  </si>
  <si>
    <t>TEC0803513</t>
  </si>
  <si>
    <t>PURCHASE LAERDAL SUCTION UNIT FOR TEC MED ROOM</t>
  </si>
  <si>
    <t>Purchase Laerdal Suction Unit for use by TEC EMS Personnel.</t>
  </si>
  <si>
    <t>TEC0803710</t>
  </si>
  <si>
    <t>VALVELINK SOFTWARE FOR TEC</t>
  </si>
  <si>
    <t>Valvelink Software for TEC - Order and implement Valvelink software VL2005 with 5 tags, an additional 70 tags, a USB HART Modem and Experitec Training for software use.</t>
  </si>
  <si>
    <t>TEC0803936</t>
  </si>
  <si>
    <t>PURCHASE 1-1/2 INCH IMPACT WRENCH</t>
  </si>
  <si>
    <t>Purchase 1-1/2 inch air impact wrench for the TEC tool room.</t>
  </si>
  <si>
    <t>TEC0804550</t>
  </si>
  <si>
    <t>TCOM LANDFILL CONTINUING CONST</t>
  </si>
  <si>
    <t>[Item 4, Footnote 5]</t>
  </si>
  <si>
    <t>[Item 3, Footnote 2]</t>
  </si>
  <si>
    <r>
      <t>2</t>
    </r>
    <r>
      <rPr>
        <sz val="12"/>
        <rFont val="Times New Roman"/>
        <family val="1"/>
      </rPr>
      <t xml:space="preserve"> Depreciation rates are from Wk. S by account and energy center.</t>
    </r>
  </si>
  <si>
    <r>
      <t>3</t>
    </r>
    <r>
      <rPr>
        <sz val="12"/>
        <rFont val="Times New Roman"/>
        <family val="1"/>
      </rPr>
      <t xml:space="preserve"> The monthly depreciation expense is developed by multiplying the account-by-account depreciation rate by the prior month's account-by-account basis.</t>
    </r>
  </si>
  <si>
    <r>
      <t>4</t>
    </r>
    <r>
      <rPr>
        <sz val="12"/>
        <rFont val="Times New Roman"/>
        <family val="1"/>
      </rPr>
      <t xml:space="preserve"> The monthly accumulated reserve balances are determined by adding that month's depreciation expense to the prior month's accumulated reserve balance.</t>
    </r>
  </si>
  <si>
    <r>
      <t>5</t>
    </r>
    <r>
      <rPr>
        <sz val="12"/>
        <rFont val="Times New Roman"/>
        <family val="1"/>
      </rPr>
      <t xml:space="preserve"> This is the amount recorded on company records, as required by Attachment E, Section I, paragraph 5.</t>
    </r>
  </si>
  <si>
    <t>Deferred Compensation Plan</t>
  </si>
  <si>
    <t>Book accrual for deferred compensation vs. actual payments for tax</t>
  </si>
  <si>
    <t>Inventory Valuation</t>
  </si>
  <si>
    <t>Book accrual for inventory reserve vs. actual losses for tax</t>
  </si>
  <si>
    <t>Non-utility related</t>
  </si>
  <si>
    <t>Contract work for E2 LP1 Turbine Blade Replacement - The replacement of the Evans #2 LP1 turbine last row blades on the governor end.  This project includes: disassembly and inspection of the LP1 turbine, sending the rotor to shop for blade replacement, inspection and repair of any other blades and lashing lugs, low speed balance, and turbine reassembly.</t>
  </si>
  <si>
    <t>Days/Mo/Qtr</t>
  </si>
  <si>
    <t>Annual Interest</t>
  </si>
  <si>
    <t>Cost Rate*</t>
  </si>
  <si>
    <t>Issue</t>
  </si>
  <si>
    <t>Maturity</t>
  </si>
  <si>
    <t>Amount</t>
  </si>
  <si>
    <t>Premium</t>
  </si>
  <si>
    <t>Issuance</t>
  </si>
  <si>
    <t>Reacquired</t>
  </si>
  <si>
    <t>Net</t>
  </si>
  <si>
    <t>(Expense)</t>
  </si>
  <si>
    <t>to maturity at</t>
  </si>
  <si>
    <t xml:space="preserve">Outstanding in </t>
  </si>
  <si>
    <t>Yield to Maturity</t>
  </si>
  <si>
    <t xml:space="preserve">Long Term Debt Issuances </t>
  </si>
  <si>
    <t>Date</t>
  </si>
  <si>
    <t>Issued</t>
  </si>
  <si>
    <t>at Issuance</t>
  </si>
  <si>
    <t>Proceeds</t>
  </si>
  <si>
    <t>Rate</t>
  </si>
  <si>
    <t>at t=0</t>
  </si>
  <si>
    <t>GP &amp; Direct Allocator</t>
  </si>
  <si>
    <t xml:space="preserve">M &amp; S  (Form 1, pg. 227, ln. 7, col. b &amp; c)    </t>
  </si>
  <si>
    <t xml:space="preserve">Stores (Form 1, pg. 227, ln. 16, col. b &amp; c)    </t>
  </si>
  <si>
    <r>
      <t>1</t>
    </r>
    <r>
      <rPr>
        <u/>
        <sz val="12"/>
        <rFont val="Times New Roman"/>
        <family val="1"/>
      </rPr>
      <t xml:space="preserve"> Steam &amp; Nuclear Power Generation O&amp;M</t>
    </r>
  </si>
  <si>
    <t>LaCygne Dismantling Cost</t>
  </si>
  <si>
    <t>Schedule 3</t>
  </si>
  <si>
    <t>Schedule 5</t>
  </si>
  <si>
    <t>Schedule 6</t>
  </si>
  <si>
    <t>MAIN FEEDWATER PUMP - DCS CONVERSION</t>
  </si>
  <si>
    <t>WCNOC Turbine Building - Main feedwater pump - DCS conversion.</t>
  </si>
  <si>
    <t>Emporia Energy Center Gas Turbine Unit 6 - Construction Costs for Emporia CT #6.</t>
  </si>
  <si>
    <t>SECURITY X-RAY REPLACEMENT</t>
  </si>
  <si>
    <t>WCNOC Site Security Building - Security X-Ray replacement.</t>
  </si>
  <si>
    <t>Adding a fourth pump and associated electrical equipment as well as providing remote start and indication of key parameters.  Add a second line from the aux lake to both the make-up lake and plant.  Piping will be re-configured at the aux lake pump house.  Five make-up lake pumps will be replaced and the pressure control system will be upgraded.  The two 30 inch lines from the make-up lake will be cross-tied to reduce the frictional head loss.  The SCUs on units 1 and 2 will be cross tied to the units 3 and 4 SCUs to provide adequate softening capabilities.  The internal of the SCUs will be modernized.</t>
  </si>
  <si>
    <t>2008 Misc. Safety Project - This project included the following:  water cannon platforms, main steam valve access platforms, conveyor tail pulley access, and plant ladders extensions required per OSHA.</t>
  </si>
  <si>
    <t>Contract work for L3 Generator overhaul and rotor rewind - This project is for the rewind of the L3 GE generator rotor during the next turbine generator outage.  This project includes labor to open the generator and remove the rotor, inspect and test the stator, ship the rotor offsite, complete electrical and mechanical testing, remove and inspect retaining, wedge and winding removal, TIL 1292 inspection (rotor wedge dovetail inspection), clean and inspect all components, reinsulate winding with modern insulation, perform TIL 1005, reassemble wedges, retaining rings, rotorbore inspection, and reassembly of the generator.</t>
  </si>
  <si>
    <t xml:space="preserve">Contract work for L4 Scrubber Upgrades - The L3 fly ash handling system will be replaced to provide transport of fly ash collected in the ESP to the new fly ash silos being constructed in the Baghouse and AQCS Upgrade project.  This work order includes the engineering, procurement, and construction of the project.  </t>
  </si>
  <si>
    <t>LEC0800820</t>
  </si>
  <si>
    <t>L5 REPLACE COOLING TOWER</t>
  </si>
  <si>
    <t>WORKSHEET D, REVENUE CREDITS, DEMAND CHARGE DIVISOR AND ENERGY</t>
  </si>
  <si>
    <t>WORKSHEET E, REVENUE REQUIREMENTS SHORTFALL, ACCUMULATION AND DEMAND CHARGE ANALYSIS</t>
  </si>
  <si>
    <t>WORKSHEET V, OFF-SYSTEM SALES MARGIN AMOUNT</t>
  </si>
  <si>
    <t>WORKSHEET W, DIRECT ASSIGNED TRANSMISSION</t>
  </si>
  <si>
    <t xml:space="preserve">Contract work for the L4 Scrubber Upgrades - This project includes the engineering, procurement, and construction of a baghouse (fabric filter) to control particulate emissions and upgrade the FGD scrubbers on Units 4 &amp; 5 as required.  Upgrading the FGD scrubbers requires additional limestone capacity.  </t>
  </si>
  <si>
    <t>A30002</t>
  </si>
  <si>
    <t>EEC0800295</t>
  </si>
  <si>
    <t>HEC SOUTH PLANT MISC TOOLS AND SMALL PROJECT</t>
  </si>
  <si>
    <t>HEC - South Plant Misc. Tools and Small Project</t>
  </si>
  <si>
    <t>EEC0800678</t>
  </si>
  <si>
    <t>H4 CEM REPLACEMENT PROJECT</t>
  </si>
  <si>
    <t>Contract work for the HEC CEMS Replacement -  This project includes CO2 Analyzer, Stack Probe, Umbilical bundle, Absolute pressure transmitter and associated software changes.</t>
  </si>
  <si>
    <t>EEC0804574</t>
  </si>
  <si>
    <t>HCOM GUARDRAIL AND GUARDING COMPLIANCE</t>
  </si>
  <si>
    <t>Hcom Guardrail and Guarding Compliance - Upgrade sub-standard guardrails at HEC for pre-application of VPP.</t>
  </si>
  <si>
    <t>The Demand Charge shall be the latest Demand Charge produced by the formula included in this Attachment D.  The Demand Charge shall be capped at 110% of the prior Contract Year’s Demand Charge produced by the formula included in this Attachment D (the "Cap"); provided, however, that any amount above the Cap shall be recovered in the subsequent Contract Year(s), with interest determined in accordance with 18 C.F.R. § 35.19a, as provided in Worksheet E, and that the Cap shall not apply in the final Calendar Year of this Agreement.</t>
  </si>
  <si>
    <t>JEC Scrubbers Accrual - Bills Westar has received for JEC items, but have not yet paid by the end of the year.</t>
  </si>
  <si>
    <t>Contract work to remove the unit 2 expelsor and replace it with a lift station. / Project has been cancelled.</t>
  </si>
  <si>
    <t xml:space="preserve"> 7209247</t>
  </si>
  <si>
    <t>SAFETY DISCONNECTS REPLACEMENT</t>
  </si>
  <si>
    <t>Contract work to replace safety disconnects for L2 with updated equipment.</t>
  </si>
  <si>
    <t xml:space="preserve"> 7209251</t>
  </si>
  <si>
    <t>FLYASH EXHAUSTER MOTOR REPLACEMENT</t>
  </si>
  <si>
    <t>Contract work to replace the LaCygne Unit 2 fly ash exhauster motor.</t>
  </si>
  <si>
    <t xml:space="preserve"> 7209259</t>
  </si>
  <si>
    <t>PRIMARY AIR HEATER GEARBOX REPLACEMENT</t>
  </si>
  <si>
    <t>Contract work to replace the 2A primary air heater gearbox .</t>
  </si>
  <si>
    <t xml:space="preserve"> 7209260</t>
  </si>
  <si>
    <t>PULVERIZER FEEDER BELT</t>
  </si>
  <si>
    <t>Contract work to replace 2E pulverizer feeder belt replacement.</t>
  </si>
  <si>
    <t xml:space="preserve"> 7209261</t>
  </si>
  <si>
    <t>LUBE OIL MOTOR</t>
  </si>
  <si>
    <t>Contract work to replace the L2 BFPT lube oil motor.</t>
  </si>
  <si>
    <t xml:space="preserve"> 7209263</t>
  </si>
  <si>
    <t>PRECIP EXHAUST BLOWER</t>
  </si>
  <si>
    <t>Contract work to replace the L2 precipitator exhauster blower 2A.</t>
  </si>
  <si>
    <t xml:space="preserve"> 7209264</t>
  </si>
  <si>
    <t>PRECIPITATOR T-R SET REPLACEMENT</t>
  </si>
  <si>
    <t>Contract work to replace the L2 precipitator 2A-5E T-R set.</t>
  </si>
  <si>
    <t xml:space="preserve"> 7209265</t>
  </si>
  <si>
    <t>TURBINE VALVE CABLE REPLACEMENT</t>
  </si>
  <si>
    <t>Contract work to replace the wiring to the L2 turbine valves.</t>
  </si>
  <si>
    <t xml:space="preserve"> 7209274</t>
  </si>
  <si>
    <t>I2 SH SRAY VALVE REPLACEMENT</t>
  </si>
  <si>
    <t>Contract work to replace the superheat spray control valves 2-FWS-2030 and 2-FWS-2037.</t>
  </si>
  <si>
    <t xml:space="preserve"> 7209303</t>
  </si>
  <si>
    <t>L2 EHC FILTER UNIT</t>
  </si>
  <si>
    <t>Contract work to install a filter unit for the EHC fluid for the turbine control valves.</t>
  </si>
  <si>
    <t xml:space="preserve"> 7209326</t>
  </si>
  <si>
    <t>PULVERIZER BOWL REMFG</t>
  </si>
  <si>
    <t>The bowl of 2B pulverizer will be remanufactured.</t>
  </si>
  <si>
    <t xml:space="preserve"> 7209332</t>
  </si>
  <si>
    <t>REPLACE CEM NOX ANALYZER</t>
  </si>
  <si>
    <t>Complete removal of old and installation of new NOX analyzer</t>
  </si>
  <si>
    <t xml:space="preserve"> A00129</t>
  </si>
  <si>
    <t>LACYGNE #1 FEEDWATER HEATER 1A RE</t>
  </si>
  <si>
    <t>LaCygne #1 Feedwater Heater 1a Re</t>
  </si>
  <si>
    <t xml:space="preserve"> A00176</t>
  </si>
  <si>
    <t>LACYGNE #2 - PRECIP AREA BRIDGE CRANE</t>
  </si>
  <si>
    <t>LaCygne #2 - Precip Area Bridge Crane</t>
  </si>
  <si>
    <t xml:space="preserve"> A02970</t>
  </si>
  <si>
    <t>DEAERATOR REPLACEMENT</t>
  </si>
  <si>
    <t>Deaerator Replacement LaCygne</t>
  </si>
  <si>
    <t xml:space="preserve"> B02819</t>
  </si>
  <si>
    <t>SOOTBLOWER STUDY</t>
  </si>
  <si>
    <t>Sootblower Study LaCygne</t>
  </si>
  <si>
    <t xml:space="preserve"> C10100</t>
  </si>
  <si>
    <t>EASEMENT SALE</t>
  </si>
  <si>
    <t>Easement Sale LaCygne</t>
  </si>
  <si>
    <t xml:space="preserve"> A11738</t>
  </si>
  <si>
    <t>JEC SCRUBBERS ACCRUAL</t>
  </si>
  <si>
    <t xml:space="preserve">TEC0705816 </t>
  </si>
  <si>
    <t>T7 Replace circulating water lines at Tecumseh Energy Center.</t>
  </si>
  <si>
    <t>TEC0801887</t>
  </si>
  <si>
    <t>TEC0802277</t>
  </si>
  <si>
    <t>LEC0710070</t>
  </si>
  <si>
    <t>LEC0807184</t>
  </si>
  <si>
    <t>LEC0807190</t>
  </si>
  <si>
    <t>LEC0807191</t>
  </si>
  <si>
    <t>JEC0806089</t>
  </si>
  <si>
    <t>JEC0806112</t>
  </si>
  <si>
    <t>JEC0807532</t>
  </si>
  <si>
    <t>JEC0818835</t>
  </si>
  <si>
    <t>Accumulated Deferred Income Tax  Other Utility</t>
  </si>
  <si>
    <t>PC</t>
  </si>
  <si>
    <t xml:space="preserve">    Real and Personal</t>
  </si>
  <si>
    <t xml:space="preserve">     -</t>
  </si>
  <si>
    <t xml:space="preserve">       Plant Related:  Ad Valorem </t>
  </si>
  <si>
    <t xml:space="preserve">       Labor Related:  Social Security (FICA)</t>
  </si>
  <si>
    <t xml:space="preserve">    Unemployment Comp. -- Fed.</t>
  </si>
  <si>
    <t xml:space="preserve">    Operating Tax Reserve</t>
  </si>
  <si>
    <t xml:space="preserve">    Unemployment Comp. -- State</t>
  </si>
  <si>
    <t xml:space="preserve">    Workers' Comp</t>
  </si>
  <si>
    <t xml:space="preserve">    Other Taxes Accrued</t>
  </si>
  <si>
    <t xml:space="preserve">            Total VOM Cost</t>
  </si>
  <si>
    <t>CWIP</t>
  </si>
  <si>
    <t>(18)</t>
  </si>
  <si>
    <t>(19)</t>
  </si>
  <si>
    <t>UPRATE SWITCHYARD BREAKERS 345-40.</t>
  </si>
  <si>
    <t>WCNOC - Uprate switchyard breakers 345-40, 50 and 60.</t>
  </si>
  <si>
    <t>PERMANENT REFUELING OUTAGE POWER</t>
  </si>
  <si>
    <t>SEIMIC MONITORING SYSTEM REPLACEMENT</t>
  </si>
  <si>
    <t>PERMANENT CONTAINMENT OUTAGE POWER</t>
  </si>
  <si>
    <t>MAIN TRANSFORMER UPRATE</t>
  </si>
  <si>
    <t>TURBINE SUPERVISORY INSTRUMENTATION</t>
  </si>
  <si>
    <t>MCC PG19G AND PG19N CUBICLE REPLACEMENTS</t>
  </si>
  <si>
    <t>LOAD SHEDDER AND EMERGENCY LOAD SEQ</t>
  </si>
  <si>
    <t>REPLACE SERVICE WATER SYSTEM FLOW ORIFICES</t>
  </si>
  <si>
    <t>WCNOC - Replace service water system flow orifices EAFE0031 &amp; EAFE0036.</t>
  </si>
  <si>
    <t>IMPROVED VALVE DESIGN FOR KCHV0253</t>
  </si>
  <si>
    <t>"B" ESW STRAINER CHANGE OUT</t>
  </si>
  <si>
    <t>EAD05C HP CONDENSER TUBE REPLACEMENT</t>
  </si>
  <si>
    <t>OBSOLETE PART - REPLACE EXISTING VALVES</t>
  </si>
  <si>
    <t>REPLACE VALVES GNV0039, 40, 41, 42</t>
  </si>
  <si>
    <t>EVALUATION OF NEW SEAL TABLE MAINTENANCE</t>
  </si>
  <si>
    <t>AFUDC Credit</t>
  </si>
  <si>
    <t>CWIP Recovered</t>
  </si>
  <si>
    <t>in Demand Charge</t>
  </si>
  <si>
    <t>Recovered in</t>
  </si>
  <si>
    <t>Demand Charge</t>
  </si>
  <si>
    <t>Fuel Conversion (FC),</t>
  </si>
  <si>
    <t>NOTES:</t>
  </si>
  <si>
    <t>Book accrual for 3rd party injuries and damages vs. actual costs for tax</t>
  </si>
  <si>
    <t>Group Medical Insurance</t>
  </si>
  <si>
    <t>Book accrual for group medical claims vs. actual costs for tax</t>
  </si>
  <si>
    <t>Intangible &amp; General Plant</t>
  </si>
  <si>
    <t>303.00 -  Customer Service System Software</t>
  </si>
  <si>
    <t>303.00 -  Other Software</t>
  </si>
  <si>
    <t>Type</t>
  </si>
  <si>
    <t>Book-tax basis difference Spring Creek power purchase agreement.</t>
  </si>
  <si>
    <t>ONEOK Purchase Power Agreement</t>
  </si>
  <si>
    <t>Pollution Control (PC)</t>
  </si>
  <si>
    <t>or Other (O)</t>
  </si>
  <si>
    <t>FC, PC or O</t>
  </si>
  <si>
    <t>FC or PC</t>
  </si>
  <si>
    <t>O</t>
  </si>
  <si>
    <t>Book accrual for bad debts vs. direct write off method for tax</t>
  </si>
  <si>
    <t>Property Insurance</t>
  </si>
  <si>
    <t>Book accrual for property insurance vs. actual costs for tax</t>
  </si>
  <si>
    <t>Fee from Acquila transaction deferred on books and amortized over term of lease.</t>
  </si>
  <si>
    <t>Account 524</t>
  </si>
  <si>
    <t>A30022</t>
  </si>
  <si>
    <t>Environmental Instrumentation - MGEC Temperature Application - Purchase and installation of a General Purpose Indicator, Thermostat house with integral Type-K thermocouple and cover for panel mounting.</t>
  </si>
  <si>
    <t>EEC0600760</t>
  </si>
  <si>
    <t>INSTALL MG4 GENERATOR MONITORING EQUIPMENT</t>
  </si>
  <si>
    <t>WORKSHEET M, VOM REVENUE FROM GFR CUSTOMERS AND VOM ENERGY CREDIT</t>
  </si>
  <si>
    <t>Book accrual for federal and state interest on loss contingencies related to taxes other than income taxes.</t>
  </si>
  <si>
    <t>Book depreciation and interest expense on capital lease vs operating lease for tax.</t>
  </si>
  <si>
    <t>REPLACE 3" GATE VALVE #EFPV0019</t>
  </si>
  <si>
    <t>REPLACE AIR CONDITIONER COMPRESSORS</t>
  </si>
  <si>
    <t>TEC01861002</t>
  </si>
  <si>
    <t>[ to Wk. D, Revenue Credit, C) ]</t>
  </si>
  <si>
    <t>[ to Wk. D, Demand Charge..., B) ]</t>
  </si>
  <si>
    <t xml:space="preserve">   ECA = Energy Cost Adjustment (fuel clause applied to bundled, grandfathered agreements)</t>
  </si>
  <si>
    <t>[to Item 3, Footnote 2 ]</t>
  </si>
  <si>
    <t xml:space="preserve">          Subtotal [to Item 4, Footnote 7]</t>
  </si>
  <si>
    <t>[ to Item 4, Footnote 7 ]</t>
  </si>
  <si>
    <t>Contract work for the L3 Circulating Water Line Replacement - This project is to replace the L3 Circulating Water lines from the L3 Cooling Tower back to where the line leaves the L5 tunnel.  The lines will be slip-lined outside the tunnel and encased in concrete inside the tunnel.</t>
  </si>
  <si>
    <t>LEC0804804</t>
  </si>
  <si>
    <t>L3 TURBINE VIBRATION AND EXPANSION</t>
  </si>
  <si>
    <t>Error Identification</t>
  </si>
  <si>
    <t>Formula</t>
  </si>
  <si>
    <t>Reference</t>
  </si>
  <si>
    <t>Contract</t>
  </si>
  <si>
    <t>Incorrect</t>
  </si>
  <si>
    <t>Correct</t>
  </si>
  <si>
    <t>Calculated</t>
  </si>
  <si>
    <t>WCNOC Education Center - Install rip rap at Eisenhower lagoon.</t>
  </si>
  <si>
    <t>REPLACE VALVE #EP8818D</t>
  </si>
  <si>
    <t>WCNOC Auxiliary Building - Replace valve #EP8818D.</t>
  </si>
  <si>
    <t>REPLACE CIRC WATER AND MUSH TRAVELING</t>
  </si>
  <si>
    <t>WCNOC Make-up Water Structure (MUD, MUSH) - Replace circ water and MUSH traveling screens.</t>
  </si>
  <si>
    <t>Elwood, KS</t>
  </si>
  <si>
    <t>Enterprise, KS</t>
  </si>
  <si>
    <t>Morrill, KS</t>
  </si>
  <si>
    <t>Nemaha Marshall REC</t>
  </si>
  <si>
    <t>Pension accrual per books vs. actual contributions for tax</t>
  </si>
  <si>
    <t>HVAC Heat Pump Program</t>
  </si>
  <si>
    <t>Deferred income taxes on amounts recorded to the Pension Expense Tracke</t>
  </si>
  <si>
    <t>Deferred income taxes on the regulatory asset for the Energy Efficiency Demand Response program</t>
  </si>
  <si>
    <t>Reg Asset - Energy Eff Demand Response</t>
  </si>
  <si>
    <t>Russell Inv Exec Plan</t>
  </si>
  <si>
    <t>LEC011005101</t>
  </si>
  <si>
    <t xml:space="preserve">LEC L5 Low Nox Burner Retrofit 2010 Work Order
</t>
  </si>
  <si>
    <t>JEC011005801</t>
  </si>
  <si>
    <t>BI #0110058 - JCOM Scrubber Effluent.  For 2011 work on Constructed Wetlands Treatment System.  Provide operational oversight and recommendations, sampling and analysis for water, soil and plants.</t>
  </si>
  <si>
    <t>JCOM SCRUBBER EFFLUENT.</t>
  </si>
  <si>
    <t xml:space="preserve">LEC L5 LOW NOX BURNER RETROFIT 2010 WO
</t>
  </si>
  <si>
    <t>Work Order shall cover the Phase 1 portion the rebuild of the Unit 2 Electricstatic Precipitator.  Those costs shall include materials and labor.</t>
  </si>
  <si>
    <t>J2 Low NOx Conversion for Spring 2009 Outage. This includes the addition of low NOx burners, SOFA air locations, a NeuralNet, as well as ETC and CADM systems from Foster-Wheeler</t>
  </si>
  <si>
    <t>NFPA 70E Compliance</t>
  </si>
  <si>
    <t>7003193</t>
  </si>
  <si>
    <t>7100006</t>
  </si>
  <si>
    <t>Non-CEP related accruals</t>
  </si>
  <si>
    <t>7200006</t>
  </si>
  <si>
    <t>Accrual</t>
  </si>
  <si>
    <t>012512</t>
  </si>
  <si>
    <t>013004</t>
  </si>
  <si>
    <t>WORK ORDER SHALL COVER THE PHASE 1</t>
  </si>
  <si>
    <t>J2 LOW NOX CONVERSION FOR SPRING 2009</t>
  </si>
  <si>
    <t>NFPA 70E COMPLIANCE</t>
  </si>
  <si>
    <t>ACCRUAL</t>
  </si>
  <si>
    <t>NON-CEP RELATED ACCRUALS</t>
  </si>
  <si>
    <t>SECURITY SYSTEM CHANGES SYSTEM</t>
  </si>
  <si>
    <t>RP081A &amp; B TC/CCM SYSTEM REPLACEMENT</t>
  </si>
  <si>
    <t>RP081A &amp; B TC/CCM System Replacement.  Project# XNEW07-0017 System.</t>
  </si>
  <si>
    <t>Security System Changes System.</t>
  </si>
  <si>
    <t>Doniphan Rural Electric Cooperative, Inc.</t>
  </si>
  <si>
    <t>WRI Special Agreements</t>
  </si>
  <si>
    <t>Capital Lease JEC 8%</t>
  </si>
  <si>
    <t>EMS Console Works (A37142)</t>
  </si>
  <si>
    <t>SMS Dashboard - Obvient (A31062)</t>
  </si>
  <si>
    <t>Oracle Software (Appl&amp;DB) for Genco (A46922)</t>
  </si>
  <si>
    <t>SMS Software Purchase (A38502)</t>
  </si>
  <si>
    <t>EMS OSISoft PI Purchase (A44503)</t>
  </si>
  <si>
    <t>WCNOC - Learning Management System Software</t>
  </si>
  <si>
    <t>WCNOC - Beacon Software TSM (501120)</t>
  </si>
  <si>
    <t>Muscotah, KS</t>
  </si>
  <si>
    <t>M08170B -  MKE ENERGY TRANSACTION MANAGEMENT SYS 01</t>
  </si>
  <si>
    <t>M8170C - HYPERION BUSINESS INTELL PLATFORM SOFTWARE 01</t>
  </si>
  <si>
    <t>M8170F - SOFTWARE FOR SPP ENERGY MARKET - 01</t>
  </si>
  <si>
    <t>M8170G - DOCUMENT MANAGEMENT PROJECT - 01</t>
  </si>
  <si>
    <t>M8170H - HELP DESK TICKET SYSTEM - 01</t>
  </si>
  <si>
    <t>M8170K - IDENTIFY MANAGEMENT PROJECT (LDAP) - 01</t>
  </si>
  <si>
    <t>M8170M - ENERGY ACCOUNTING REWRITE PROJECT - 01</t>
  </si>
  <si>
    <t>M8170O - INFORMATION ACCESS TECHNOLOGY (IAT) - 01</t>
  </si>
  <si>
    <t xml:space="preserve">     M08170Q - WAN NETWORK ANALYSIS SOFTWARE</t>
  </si>
  <si>
    <t xml:space="preserve">     M8170R - SOFTWARE - PHONE SWITCH (11)</t>
  </si>
  <si>
    <t xml:space="preserve">     M8170T - SOFTWARE - SARBANES OXLEY (11)</t>
  </si>
  <si>
    <t xml:space="preserve">     M8170U - SOFTWARE - INSTANT MESSAGE LOGGING (11)</t>
  </si>
  <si>
    <t xml:space="preserve">     M8170V - SOFTWARE - AIS PRIORITY SYSTEM (11)</t>
  </si>
  <si>
    <t xml:space="preserve">     M8170W - SOFTWARE - FALLS (11)</t>
  </si>
  <si>
    <t>M8170Z - SOFTWARE - BOILER INSPECTION (BOILER DOCKIT)</t>
  </si>
  <si>
    <t>M8170AB SOFTWARE - AUTOMATED PLAT DESIGN (11)</t>
  </si>
  <si>
    <t>M8170AD - OPERATONAL DASHBOARD PROJECT (11)</t>
  </si>
  <si>
    <t>M8170AG - PGP ENCRYPTION SOFWARE - 11</t>
  </si>
  <si>
    <t>M8170AH - BOILER INSPECTION SOFTWARE (01)</t>
  </si>
  <si>
    <t>M8170AJ - POWERPLANT SOFTWARE (01)</t>
  </si>
  <si>
    <t>M8170AK - SOFTWARE - STANDARD DRAWINGS FOR AUTOCAD (01)</t>
  </si>
  <si>
    <t>M8170AL - SOFTWARE - WMIS REPLACEMENT (01)</t>
  </si>
  <si>
    <t>M8170AM - SOFTWARE - ASCENTINAL</t>
  </si>
  <si>
    <t>DATA LOSS PREVENTION SOFTWARE</t>
  </si>
  <si>
    <t>ENTERPRISE SERVICE BUS DESIGN PROJECT SOFTWARE</t>
  </si>
  <si>
    <t>ESB IMPLEMENTATION - SOFTWARE</t>
  </si>
  <si>
    <t>ESB PROOF OF CONCEPT PROJECT SOFTWARE</t>
  </si>
  <si>
    <t>IAM SECURITY SOFTWARE FOR ESB</t>
  </si>
  <si>
    <t>ICE EXCHANGE</t>
  </si>
  <si>
    <t>IT ROCKET SOFTWARE - MOBILE DATA</t>
  </si>
  <si>
    <t>NERC SECURITY SYSTEMS</t>
  </si>
  <si>
    <t>AUDIT SOFTWARE</t>
  </si>
  <si>
    <t>PROPERTY TAX LICENSE &amp; IMPLEM</t>
  </si>
  <si>
    <t>TAX PROVISION LICENSE &amp; IMPLEM</t>
  </si>
  <si>
    <t>WMIS REPLACEMENT SOFTWARE UPGRADE</t>
  </si>
  <si>
    <t>WILEY SOFTWARE</t>
  </si>
  <si>
    <t>SPPRTO ADD SITE LICENSES</t>
  </si>
  <si>
    <t xml:space="preserve">TEAMQUEST SOFTWARE LICENSE </t>
  </si>
  <si>
    <t>SOFTWARE IDENTITY/ACCESS MGMT TFM LIC</t>
  </si>
  <si>
    <t>IT10-Hyperion v11 Installation</t>
  </si>
  <si>
    <t>Purchase software for Remittance Eq</t>
  </si>
  <si>
    <t>Purchase Purchase InpecTrend Data I</t>
  </si>
  <si>
    <t>Mobile Security Mgmt Softwre</t>
  </si>
  <si>
    <t>Weblogic Suite Purch 2010</t>
  </si>
  <si>
    <t>IT 10 - PCI lic purchases for Compl</t>
  </si>
  <si>
    <t>IBM Lotus CEO Bundle for 2010</t>
  </si>
  <si>
    <t>IT 10- Enterprise Vault Software &amp;</t>
  </si>
  <si>
    <t>IT 10 MS Office 2007 Software</t>
  </si>
  <si>
    <t>IT10-Lotus Connections Pilot Proj</t>
  </si>
  <si>
    <t>G08001 - LACYGNE #1</t>
  </si>
  <si>
    <t>G08011 - LACYGNE Common</t>
  </si>
  <si>
    <t>G08011A - LACYGNE - Intangible Misc</t>
  </si>
  <si>
    <t>G08002 - LACYGNE #2</t>
  </si>
  <si>
    <t>G08011B - Lacygne Software</t>
  </si>
  <si>
    <t>G08011C - Lacygne Software</t>
  </si>
  <si>
    <t xml:space="preserve">     M8170E - DOCUMENT MANAGEMENT PROJECT - 02</t>
  </si>
  <si>
    <t xml:space="preserve">     M8170I - HELP DESK TICKET SYSTEM - 02</t>
  </si>
  <si>
    <t xml:space="preserve">     M8170J - MKE ENERGY TRANSACTION MANAGEMENT SYS - 02</t>
  </si>
  <si>
    <t xml:space="preserve">     M8170L - IDENTIFY MANAGEMENT PROJECT (LDAP) - 02</t>
  </si>
  <si>
    <t xml:space="preserve">     M8170N - ENERGY ACCOUNTING REWRITE PROJECT - 02</t>
  </si>
  <si>
    <t xml:space="preserve">     M8170P - INFORMATION ACCESS TECHNOLOGY (IAT) - 02</t>
  </si>
  <si>
    <t xml:space="preserve">     M8170S - SOFTWARE - CRITICAL PBX (51)</t>
  </si>
  <si>
    <t xml:space="preserve">     M8170X - SOFTWARE - AIS PRIORITY SYSTEM (51)</t>
  </si>
  <si>
    <t xml:space="preserve">     M8170Y - SOFTWARE - FALLS (51)</t>
  </si>
  <si>
    <t xml:space="preserve">     M8170AC - SOFTWARE - AUTOMATED PLAT DESIGN (51)</t>
  </si>
  <si>
    <t xml:space="preserve">     M8170AE - OPERATIONAL DASHBOARD PROJECT (51)</t>
  </si>
  <si>
    <t xml:space="preserve">     M8170AF - PGP ENCRYPTION SOFWARE - 51</t>
  </si>
  <si>
    <t>EMS Security 2011</t>
  </si>
  <si>
    <t>Chemistry Database Software</t>
  </si>
  <si>
    <t>Devonway Software</t>
  </si>
  <si>
    <t>Software for Nework Single Signon</t>
  </si>
  <si>
    <t>JEC011116301</t>
  </si>
  <si>
    <t>EEC011188101</t>
  </si>
  <si>
    <t>JEC011105501</t>
  </si>
  <si>
    <t>LEC011043501</t>
  </si>
  <si>
    <t>JEC011105801</t>
  </si>
  <si>
    <t>FOR THE INSTALLATION OF COAL PIPING</t>
  </si>
  <si>
    <t>EMPORIA 5 FUEL NOZZLE REP</t>
  </si>
  <si>
    <t>Emporia 5 Fuel Nozzle Replacement.</t>
  </si>
  <si>
    <t>J1 NEURAL NETWORK INST</t>
  </si>
  <si>
    <t>0110435 - L5 GSU REPLACEMENT 2012 W</t>
  </si>
  <si>
    <t>BI #0111058 - J3 SMARTBURN AND SNCR</t>
  </si>
  <si>
    <t>JEC011005901</t>
  </si>
  <si>
    <t>THE CONSENT DECREE ESTABLISHES THE</t>
  </si>
  <si>
    <t>7203239</t>
  </si>
  <si>
    <t>STAGING TRACK</t>
  </si>
  <si>
    <t>Staging track.</t>
  </si>
  <si>
    <t>BO 0111055 - J1 Neural Network Installation.  This work order will cover all costs associated with the J1 neural network project.  Install a neural network for emissions improvements on J1.  This will include a flyash ECT and CO grid in the toggle duct and actuators for the boundary air and overfire air yaws with overfire air tilt control on the boiler.  Also install new furnace exit gas temperature probes (2 per furnace) that will replace the current 1 probe per furnace which are prone to slagging over.</t>
  </si>
  <si>
    <t>BI #0111058 - J3 Smartburn and SNCR Installation to be installed during the Spring 2012 J3 outage.  Install new low-NOx burners on J3 with additional overfire air ports on the rear wall and a selective non-catalytic reduction (SNCR) system.  A neural network will also be installed to ensure optimal emissions levels at all times.</t>
  </si>
  <si>
    <t>For the installation of coal piping during J1 Spring 2012 outage.  Both sides of boiler, from riffle to boiler.  The original coal pipe is in need of replacement to eliminate the potential for personnel / equipment damage that can occur as a result of airborne dust, reduce the costs associated with dust clean-up, and ensure compliance with OSHA NEP combustible dust standards.</t>
  </si>
  <si>
    <t>The Consent Decree establishes the requirement of installing a Selective Catalytic Reduction system on one of the units at JEC in order to reduce NOx emissions.  This work request includes the detailed engineering, procurement, and construction of the SCR system on Unit 1.</t>
  </si>
  <si>
    <t>TEC011061001</t>
  </si>
  <si>
    <t>BI# 0110610:  T7 4160 SWITCHGEAR UPGRADE</t>
  </si>
  <si>
    <t>BI# 0110610:  T7 4160 Switchgear Upgrade - Design, Purchase and Install.</t>
  </si>
  <si>
    <t>LEC011005001</t>
  </si>
  <si>
    <t>LEC L4 LOW NOX BURNER RETROFIT 2012</t>
  </si>
  <si>
    <t>LEC01807604</t>
  </si>
  <si>
    <t>THE L3 FLY ASH HANDLING SYSTEM WILL</t>
  </si>
  <si>
    <t>The L3 fly ash handling system will be replaced to provide transport of fly ash collected in the ESP to the new fly ash silos being constructed in the Baghouse and AQCS Upgrade project.  This work order includes the engineering, procurement, and construction of the project.</t>
  </si>
  <si>
    <t>LEC L4 Low Nox Burner Retrofit 2012 Work Order.  This project is for the installation of low NOx burners, separated over-fire air ductwork, and a neural net system on L4.  As part of the 2008 Regional Haze Consent agreement with the KDHE, L4 will install scrubber upgrades and a low NOx system capable of reaching 0.18 lb/mmBtu NOx output on a 30-day rolling average.</t>
  </si>
  <si>
    <t>Book reserve set up for potential non-income tax issues per SFAS 5; deductible for tax when paid</t>
  </si>
  <si>
    <t>Aquila Consent Fee</t>
  </si>
  <si>
    <t>Long Term Incentive Prog Pwr Mkt</t>
  </si>
  <si>
    <t>Book accrual to recognize funded status of pension plan per SFAS 158; not recognized for tax</t>
  </si>
  <si>
    <t>Prairie Wind Equity</t>
  </si>
  <si>
    <t>Deferred income taxes on the accrruement of rebates and credits for the HVAC Heat Pump Program.</t>
  </si>
  <si>
    <t>DIT on Book/Tax Income Differences of Prairie Wind</t>
  </si>
  <si>
    <t>AFUDC DEBT FERC</t>
  </si>
  <si>
    <t xml:space="preserve">Deferred tax liability associated with AFUDC debt for FERC </t>
  </si>
  <si>
    <t>AFUDC Debt ECRR</t>
  </si>
  <si>
    <t xml:space="preserve">Deferred tax liability associated with AFUDC debt for ECRR </t>
  </si>
  <si>
    <t>Wattsaver Program</t>
  </si>
  <si>
    <t>DIT for R/A for Energy Efficiency Demand Response Program.</t>
  </si>
  <si>
    <t>Longterm incentive Prog Pwr Mkt</t>
  </si>
  <si>
    <t>AFUDC Debt FERC</t>
  </si>
  <si>
    <t>Lacygne</t>
  </si>
  <si>
    <t>WCNOC Pension Tracker</t>
  </si>
  <si>
    <t>Reg Asset Unrecognized Pension Exp</t>
  </si>
  <si>
    <t>Reg Asset Unrecognized Post Retirement Exp</t>
  </si>
  <si>
    <t>Reg Asset Unrecognized Post - Retirement Exp</t>
  </si>
  <si>
    <t>Post Retirement Benefit Plans</t>
  </si>
  <si>
    <t>Regulatory Energy Cost Adj</t>
  </si>
  <si>
    <t>Reg Asset Unrecognized Post- Retirement Exp</t>
  </si>
  <si>
    <t>1070004</t>
  </si>
  <si>
    <t>012834</t>
  </si>
  <si>
    <t>012961</t>
  </si>
  <si>
    <t>MAIN GENERATOR REWIND PROJECT</t>
  </si>
  <si>
    <t>Main Generator Rewind Project</t>
  </si>
  <si>
    <t>013017</t>
  </si>
  <si>
    <t>REPLACEMENT MOVABLE FLUX MAP SYSTEM</t>
  </si>
  <si>
    <t>Replacement Movable Flux Map System</t>
  </si>
  <si>
    <t>013380</t>
  </si>
  <si>
    <t>FEED PUMP SPEED CONTROL REPLACEMENT</t>
  </si>
  <si>
    <t>Feed Pump Speed Control Replacement</t>
  </si>
  <si>
    <t>013833</t>
  </si>
  <si>
    <t>ESW UNDERGROUND PIPE REPLACEMENT</t>
  </si>
  <si>
    <t>ESW Underground Pipe Replacement System</t>
  </si>
  <si>
    <t>Turbine Supervisory Instrumentation System - vibration monitoring upgrade.</t>
  </si>
  <si>
    <r>
      <t xml:space="preserve">Reacquired </t>
    </r>
    <r>
      <rPr>
        <vertAlign val="superscript"/>
        <sz val="12"/>
        <rFont val="Times New Roman"/>
        <family val="1"/>
      </rPr>
      <t>1</t>
    </r>
  </si>
  <si>
    <t>Less: Production Cost of Sales  [Note 1]</t>
  </si>
  <si>
    <t>Herington, KS</t>
  </si>
  <si>
    <t>Scranton, KS</t>
  </si>
  <si>
    <t>WRI Salary Cont Plan</t>
  </si>
  <si>
    <t>Power Marketing Mark to Market</t>
  </si>
  <si>
    <t>Reg Liab KS Tax Credits</t>
  </si>
  <si>
    <t>Loss Cont TOTI Interest Fed and State\</t>
  </si>
  <si>
    <t>Charibtable Contributions Carryfo</t>
  </si>
  <si>
    <t>Longterm Incentive Prog Pwr Mkt</t>
  </si>
  <si>
    <t>Accum Defer It acc Amort Prop</t>
  </si>
  <si>
    <t>Afudc interest Component</t>
  </si>
  <si>
    <t>Contrib in Aid of Construction</t>
  </si>
  <si>
    <t>DIT Reg Asset Plant Flow Thru</t>
  </si>
  <si>
    <t>R/A EE Demand Response</t>
  </si>
  <si>
    <t>R/A Energy Eff Educate Programs</t>
  </si>
  <si>
    <t>Amort of Acquisition Adjust</t>
  </si>
  <si>
    <t>DIT Rabbi Trust Mark to Market</t>
  </si>
  <si>
    <t>Wcnoc Nol Rate Diff</t>
  </si>
  <si>
    <t>Gain on Lacygne 2 Sale/Leaseback</t>
  </si>
  <si>
    <t>Loss Cont TOTI Interest Fed and State</t>
  </si>
  <si>
    <t>Charitable Contributions Carryfo</t>
  </si>
  <si>
    <t>Pma Adjustment</t>
  </si>
  <si>
    <t>Accum Defer it acc Amort Prop</t>
  </si>
  <si>
    <t>DIT Deprt - KCC Difference 4/1/02</t>
  </si>
  <si>
    <t>Wcnoc Outage Expense</t>
  </si>
  <si>
    <t>Reg Asset EE Demand Response</t>
  </si>
  <si>
    <t>Reg Asset Catalyst Costs - DIT</t>
  </si>
  <si>
    <t>Deferred tax on regulatory asset associated with SCR catalyst.</t>
  </si>
  <si>
    <t>1068:000000 - Software</t>
  </si>
  <si>
    <t>Modeling and Forecsting for the PCI process improvement--work order in service and closed per Lisa Stites 2/14/12  jlc</t>
  </si>
  <si>
    <t>2010 Information Technology Purchase of Siemens Software - Power TG for Linux EMS base scope</t>
  </si>
  <si>
    <t>2011 Content Management Licensing for GENCO support staff (Reliability Engineering, Construction Maintenance, &amp; Admin)</t>
  </si>
  <si>
    <t>Dist. Designer training software</t>
  </si>
  <si>
    <t>Operator Apprentice training Prog</t>
  </si>
  <si>
    <t>Purchase and implement Substation CMMS - Cascade software   SIR BEDA-8FWHFB_x000D_
Associated Cap WR's_x000D_
Hardware A65162_x000D_
Handhelds A65182</t>
  </si>
  <si>
    <t>SmartStar AMI (Advanced Metering Infrastructure) Software purchase and implementation</t>
  </si>
  <si>
    <t>SmartStar MDM (Meter Data Management) Software purchase and implementation</t>
  </si>
  <si>
    <t>SmartStar OMS (Outage Mgmt Systems) Software and implementation</t>
  </si>
  <si>
    <t>SmartStar WEB (Portal) Software purchase &amp; implentation</t>
  </si>
  <si>
    <t>SmartStar Labor to implement OMS Software - DPD exempt staff hours to be gathered here</t>
  </si>
  <si>
    <t>2010 SmartStar MDM Labor for Customer Care employees assigned to Capital project</t>
  </si>
  <si>
    <t>2010 SmartStar AMI Labor for Customer Care staff assigned to Capital project.</t>
  </si>
  <si>
    <t>2011 SmartStar Electric Vehicle Marketing Tool - consulting, programming, and build of strategy, web connections, and other Web based tools</t>
  </si>
  <si>
    <t>Upgrade PowerPlant software to version 10.2.  Will include the lease module and two (2) PowerBuilder licenses</t>
  </si>
  <si>
    <t>IT 2010 Logica Project Asset &amp; Resource Management (ARM) 1.3 upgrade Phase I</t>
  </si>
  <si>
    <t>2010 IT unbudgeted project for DPD Resources on Demand (software to manage field crews-internal &amp; external, during outages)</t>
  </si>
  <si>
    <t>2011 Information Technology - Conversion of GIS system software to Standard Data Model by contract firm Telvent.</t>
  </si>
  <si>
    <t>2011 IT Logica ARM Scheduler Upgrade Phase II</t>
  </si>
  <si>
    <t>2011 IT Lotus &amp; Tivoli Software lic purchases for servers</t>
  </si>
  <si>
    <t>2012 People Soft HCM 9.1 implementation</t>
  </si>
  <si>
    <t>2012 TSM (Tivoli Storage Mgr) Lic Subscription - new purchase based on Storage space vs. processor mips.  Will save on purchase price plus maint going forward.</t>
  </si>
  <si>
    <t>IT10-EA Proj including software purchases, contract services for build and install._x000D_
See description of project on Justification tab</t>
  </si>
  <si>
    <t>2012 Energy Marketing Triple Point software upgrade to 7.09 functionality</t>
  </si>
  <si>
    <t>2011 IT IDM (Identity Management System) Software Upgrades for new functionality</t>
  </si>
  <si>
    <t>2011 IT Software upgrades for Legacy Single Sign-On and Multifactor Authentication systemwide.</t>
  </si>
  <si>
    <t>2011 IT Software purchase of Cyber Ark -Password Vault software</t>
  </si>
  <si>
    <t>2011 IT Project Server 2010 - purchase of Software and charges to implement; including contracted services and internal labor</t>
  </si>
  <si>
    <t>ETAP Power System Analysis Software Purchase &amp; AC Electrical System Calculation Conversions</t>
  </si>
  <si>
    <t>LACEC Common</t>
  </si>
  <si>
    <t>LEC011042901</t>
  </si>
  <si>
    <t>LCOM Removal of fly ash and bottom ash.  2012 work for pond capital items (pond dewatering, flow structures, clay lining, rip rap installation).</t>
  </si>
  <si>
    <t>LCOM REMOVAL OF FLY ASH</t>
  </si>
  <si>
    <t>LEC011105301</t>
  </si>
  <si>
    <t>LEC L3 LOW NOx BURNER RETROFIT 2012</t>
  </si>
  <si>
    <t>TEC01706701</t>
  </si>
  <si>
    <t>BI 017067 T8 LOW NOX BURNERS &amp; SOFA</t>
  </si>
  <si>
    <t>This project is for the installation of low NOx burners, separated over-fire air ductwork, and a neural net system on L3.  As part of the 2008 Regional Haze Consent agreement with the KDHE, L3 will install an upgraded precipitator and a low NOx system capable of reaching 0.18 lb/mmBtu NOx output on a 30-day rolling average.</t>
  </si>
  <si>
    <t xml:space="preserve">For the installation of Low NOx burners and separated over fire air (SOFA) on Unit 8/10 to meet environmental requirements described in the KDHE consent decree agreement.   Material and labor.  An engineering study and labor.  Aging coal piping replacement material and labor.  Construction contractor overheads and boiler retrofit costs.   </t>
  </si>
  <si>
    <t>013540</t>
  </si>
  <si>
    <t>013894</t>
  </si>
  <si>
    <t>013948</t>
  </si>
  <si>
    <t>013539</t>
  </si>
  <si>
    <t>012958</t>
  </si>
  <si>
    <t>012514</t>
  </si>
  <si>
    <t>014176</t>
  </si>
  <si>
    <t>013830</t>
  </si>
  <si>
    <t>014117</t>
  </si>
  <si>
    <t>RADWASTE BUILDING - WC007</t>
  </si>
  <si>
    <t>ESW PUMPHOUSE &amp; CHLORINE BUILDING - WC011</t>
  </si>
  <si>
    <t>CIRCULATING WATER STRUCTURE - INTAKE - WC014</t>
  </si>
  <si>
    <t>REACTOR BUILDING - WC002</t>
  </si>
  <si>
    <t>TURBINE BUILDING - WC004</t>
  </si>
  <si>
    <t>CONTROL BUILDING - WC003</t>
  </si>
  <si>
    <t>Replace Westinghouse Inverters.</t>
  </si>
  <si>
    <t>Replace FC219 Turbine Aux Feedwater Control System.</t>
  </si>
  <si>
    <t>Replace four 6" check valves and orifices.  EP8818A/B/C/D.</t>
  </si>
  <si>
    <t>Independent Cooling Loop for Non-Safety Related CCW Heat Loads.  Install new equipment skid to provide cooling loop for radwaste equipment.  Equipment skid consisting of pump and heat exchanger.</t>
  </si>
  <si>
    <t>Essential Service Water Above Ground Pipe Replacement.  Replace 18,000 feet of predominantly 30" above ground pipe on the essential service water system.</t>
  </si>
  <si>
    <t>PAB Fence at ESW Pump House.  A new primary access boundary fence will be constructed around the Essential Service water pump house to include a locking gate and detection equipment.</t>
  </si>
  <si>
    <t xml:space="preserve">Underground zinc shielded cable replacement.  Replace all zinc shielded cable and associated splices that feed the #XNB01 transformer and Circ Water Screenhouse. </t>
  </si>
  <si>
    <t>SBO Diesel Generator.  Provide a non safety related alternate AC source diesel generator with a minimum of 7 Mw to accommodate the existing safety related loads in the event of a station blackout.</t>
  </si>
  <si>
    <t>ESWS Above Ground Pipe Replacement.  Replace ESW piping found to be in a degraded state that is routed above ground.</t>
  </si>
  <si>
    <t>ESWS SYSTEM - WC009.  ABOVE GROUND PIPE REPLACEMENT.</t>
  </si>
  <si>
    <t>WC008.  ESSENTIAL SERVICE WATER ABOVE GROUND PIPE REPLACEMENT.</t>
  </si>
  <si>
    <t>WC008.  SBO DIESEL GENERATOR.</t>
  </si>
  <si>
    <t>FC</t>
  </si>
  <si>
    <r>
      <t xml:space="preserve">12.  Demand Charge, $/kW-Month </t>
    </r>
    <r>
      <rPr>
        <vertAlign val="superscript"/>
        <sz val="12"/>
        <rFont val="Times New Roman"/>
        <family val="1"/>
      </rPr>
      <t xml:space="preserve">2 </t>
    </r>
    <r>
      <rPr>
        <sz val="12"/>
        <rFont val="Times New Roman"/>
        <family val="1"/>
      </rPr>
      <t>[ Wk. E col. j, Current Year ]</t>
    </r>
  </si>
  <si>
    <t xml:space="preserve">      Less:  Preferred Stock [Footnote 2] </t>
  </si>
  <si>
    <t>Mindenmines, MO</t>
  </si>
  <si>
    <t>Criteria A</t>
  </si>
  <si>
    <t>Criteria B</t>
  </si>
  <si>
    <t>Criteria C</t>
  </si>
  <si>
    <t>Allowed Sec. 199 Dom. Manu. Ded. (lesser of lines 4, 11 or 33)</t>
  </si>
  <si>
    <t>JEC #1</t>
  </si>
  <si>
    <t>JEC #2</t>
  </si>
  <si>
    <t>JEC #3</t>
  </si>
  <si>
    <t>JEC Common</t>
  </si>
  <si>
    <t>TEC #7</t>
  </si>
  <si>
    <t>TEC Common</t>
  </si>
  <si>
    <t>LEC #4</t>
  </si>
  <si>
    <t>LEC #5</t>
  </si>
  <si>
    <t>LEC Common</t>
  </si>
  <si>
    <t>GEEC - CT #1</t>
  </si>
  <si>
    <t>GEEC - CT #2</t>
  </si>
  <si>
    <t>GEEC - CT #3</t>
  </si>
  <si>
    <t>GEEC - CT Common</t>
  </si>
  <si>
    <t>EEC - CT #1</t>
  </si>
  <si>
    <t>EEC - CT #2</t>
  </si>
  <si>
    <t>EEC - CT #3</t>
  </si>
  <si>
    <t>EEC - CT #4</t>
  </si>
  <si>
    <t>EEC - CT #5</t>
  </si>
  <si>
    <t>EEC - CT #6</t>
  </si>
  <si>
    <t>EEC - CT #7</t>
  </si>
  <si>
    <t>EEC - CT Common</t>
  </si>
  <si>
    <t>HEC - CT #1</t>
  </si>
  <si>
    <t>HEC - CT #2</t>
  </si>
  <si>
    <t>HEC - CT #3</t>
  </si>
  <si>
    <t>HEC - CT #4</t>
  </si>
  <si>
    <t>Spring Creek #1</t>
  </si>
  <si>
    <t>Spring Creek #2</t>
  </si>
  <si>
    <t>Spring Creek #3</t>
  </si>
  <si>
    <t>Spring Creek #4</t>
  </si>
  <si>
    <t>Spring Creek Common</t>
  </si>
  <si>
    <t xml:space="preserve">LACEC - #1 </t>
  </si>
  <si>
    <t>MGEC #3</t>
  </si>
  <si>
    <t>MGEC #4</t>
  </si>
  <si>
    <t>MGEC Common</t>
  </si>
  <si>
    <t>GEEC #1</t>
  </si>
  <si>
    <t>GEEC #2</t>
  </si>
  <si>
    <t>GEEC Common</t>
  </si>
  <si>
    <r>
      <t xml:space="preserve">9.  Income Tax </t>
    </r>
    <r>
      <rPr>
        <vertAlign val="superscript"/>
        <sz val="14"/>
        <rFont val="Times New Roman"/>
        <family val="1"/>
      </rPr>
      <t xml:space="preserve">7 </t>
    </r>
    <r>
      <rPr>
        <sz val="14"/>
        <rFont val="Times New Roman"/>
        <family val="1"/>
      </rPr>
      <t>[to Item 2, ln. 5]</t>
    </r>
  </si>
  <si>
    <t>[Wk. G]</t>
  </si>
  <si>
    <t>[Wk. I]</t>
  </si>
  <si>
    <t xml:space="preserve">         i)  VOM charges paid by GFR Customers [Wk. M]</t>
  </si>
  <si>
    <t>L01501 - 818 Kansas</t>
  </si>
  <si>
    <t>L01625 - 901 S KS Mills</t>
  </si>
  <si>
    <t>[to Item 3, Footnote 3 ]</t>
  </si>
  <si>
    <t>3902 LK9797 - Wichita 100 N Brd</t>
  </si>
  <si>
    <t>3110 Unit #2 Lacygne Lease</t>
  </si>
  <si>
    <t>3110 Common Lacygne Lease</t>
  </si>
  <si>
    <t>3120 Common Lacygne Lease</t>
  </si>
  <si>
    <t>3120 Unit #2 Lacygne Lease</t>
  </si>
  <si>
    <t>3122 Unit #2 Lacygne Lease</t>
  </si>
  <si>
    <t>3140 Common Lacygne Lease</t>
  </si>
  <si>
    <t>3140 Unit #2 Lacygne Lease</t>
  </si>
  <si>
    <t>3150 Common Lacygne Lease</t>
  </si>
  <si>
    <t>3150 Unit #2 Lacygne Lease</t>
  </si>
  <si>
    <t>3160 Common Lacygne Lease</t>
  </si>
  <si>
    <t>3160 Unit #2 Lacygne Lease</t>
  </si>
  <si>
    <t>WORKSHEET M, VOM REVENUE CREDIT FROM GFR CUSTOMERS AND VOM ENERGY CREDIT</t>
  </si>
  <si>
    <t>FERC Form 1 Data Inputs</t>
  </si>
  <si>
    <t>FERC Form 1 Reference
Page, Row, Column</t>
  </si>
  <si>
    <t>Fuel Stock (Current Year End Balance)</t>
  </si>
  <si>
    <t>110, 45, c</t>
  </si>
  <si>
    <t>Fuel Stock (Prior Year End Balance)</t>
  </si>
  <si>
    <t>110, 45, d</t>
  </si>
  <si>
    <t>Prepayments (Current Year End Balance)</t>
  </si>
  <si>
    <t>111, 57, c</t>
  </si>
  <si>
    <t>Prepayments (Prior Year End Balance)</t>
  </si>
  <si>
    <t>111, 57, d</t>
  </si>
  <si>
    <t xml:space="preserve">Preferred Stock </t>
  </si>
  <si>
    <t>112, 3, c</t>
  </si>
  <si>
    <t>Account 216.1</t>
  </si>
  <si>
    <t>112, 12, c</t>
  </si>
  <si>
    <t>Accumulated Other Comprehensive Income</t>
  </si>
  <si>
    <t>112, 15, c</t>
  </si>
  <si>
    <t>Proprietary Capital</t>
  </si>
  <si>
    <t>112, 16, c</t>
  </si>
  <si>
    <t>Bonds</t>
  </si>
  <si>
    <t>112, 18, c</t>
  </si>
  <si>
    <t>Reaquired Bonds</t>
  </si>
  <si>
    <t>112, 19, c</t>
  </si>
  <si>
    <t>Other Long-Term Debt</t>
  </si>
  <si>
    <t>112, 21, c</t>
  </si>
  <si>
    <t>Unamortized Premium on Long-Term Debt</t>
  </si>
  <si>
    <t>112, 22, c</t>
  </si>
  <si>
    <t>Unamortized Discount on Long-Term Debt-Debit</t>
  </si>
  <si>
    <t>112, 23, c</t>
  </si>
  <si>
    <t xml:space="preserve">Long Term Debt  </t>
  </si>
  <si>
    <t xml:space="preserve">112, 24, c  </t>
  </si>
  <si>
    <t>Other Taxes (Electric Only)</t>
  </si>
  <si>
    <t>114, 14, c</t>
  </si>
  <si>
    <t>Interest on Long-Term Debt</t>
  </si>
  <si>
    <t>117, 62, c</t>
  </si>
  <si>
    <t>Amort. of Debt Disc. and Expense</t>
  </si>
  <si>
    <t>117, 63, c</t>
  </si>
  <si>
    <t>Amortization of Loss on Reacquired Debt</t>
  </si>
  <si>
    <t>117, 64, c</t>
  </si>
  <si>
    <t>Amort. of Premium on Debt-Credit</t>
  </si>
  <si>
    <t>117, 65, c</t>
  </si>
  <si>
    <t xml:space="preserve">Amort. of Gain on Reacquired Debt-Credit </t>
  </si>
  <si>
    <t>117, 66, c</t>
  </si>
  <si>
    <t>118, 29, c</t>
  </si>
  <si>
    <t>Intangible Plant</t>
  </si>
  <si>
    <t>205, 5, g</t>
  </si>
  <si>
    <t>Total Steam Production Plant</t>
  </si>
  <si>
    <t>205, 16, g</t>
  </si>
  <si>
    <t>Total Production Plant</t>
  </si>
  <si>
    <t>205, 46, g</t>
  </si>
  <si>
    <t>SubTotal General Plant</t>
  </si>
  <si>
    <t>207, 96, g</t>
  </si>
  <si>
    <t>Total General Plant</t>
  </si>
  <si>
    <t>207, 99, g</t>
  </si>
  <si>
    <t>Total Electric Plant in Service</t>
  </si>
  <si>
    <t>207, 104, g</t>
  </si>
  <si>
    <t>Steam Production</t>
  </si>
  <si>
    <t>219, 20, b</t>
  </si>
  <si>
    <t>Nuclear Production</t>
  </si>
  <si>
    <t>219, 21, b</t>
  </si>
  <si>
    <t>Hydraulic Production-Conventional</t>
  </si>
  <si>
    <t>219, 22, b</t>
  </si>
  <si>
    <t>Hydraulic Production - Pumped Storage</t>
  </si>
  <si>
    <t>219, 23, b</t>
  </si>
  <si>
    <t>Other Production</t>
  </si>
  <si>
    <t>219, 24, b</t>
  </si>
  <si>
    <t>General</t>
  </si>
  <si>
    <t>219, 28, b</t>
  </si>
  <si>
    <t>Total Accumulated Depreciation</t>
  </si>
  <si>
    <t>219, 29, c</t>
  </si>
  <si>
    <t>Fuel Stock</t>
  </si>
  <si>
    <t>227, 1, c</t>
  </si>
  <si>
    <t>Production Plant (Balance Beginning of Year)</t>
  </si>
  <si>
    <t>227, 7, b</t>
  </si>
  <si>
    <t>Production Plant (Balance End of Year)</t>
  </si>
  <si>
    <t>227, 7, c</t>
  </si>
  <si>
    <t>Stores Exp Undistributed (Balance Beg. of Year)</t>
  </si>
  <si>
    <t>227, 16, b</t>
  </si>
  <si>
    <t>Stores Exp Undistributed (Balance End of Year)</t>
  </si>
  <si>
    <t>227, 16, c</t>
  </si>
  <si>
    <t>ADIT Account 190</t>
  </si>
  <si>
    <t>234, 8, c</t>
  </si>
  <si>
    <t>Federal:  Income</t>
  </si>
  <si>
    <t>263, i</t>
  </si>
  <si>
    <t>Federal:  Social Security</t>
  </si>
  <si>
    <t>Federal:  Unemployment</t>
  </si>
  <si>
    <t>Kansas:  Income</t>
  </si>
  <si>
    <t>Kansas:  Operating Tax Reserve</t>
  </si>
  <si>
    <t>Kansas:  Unemployment</t>
  </si>
  <si>
    <t>Kansas:  Compensating Use</t>
  </si>
  <si>
    <t>Kansas:  Workers' Compensation</t>
  </si>
  <si>
    <t>Kansas:  Other Taxes Accrued</t>
  </si>
  <si>
    <t>Kansas:  Corporation Franchise</t>
  </si>
  <si>
    <t>Local:  Ad Valorem</t>
  </si>
  <si>
    <t>Local:  Real and Personal</t>
  </si>
  <si>
    <t>ITC amortization</t>
  </si>
  <si>
    <t>266, 8, f</t>
  </si>
  <si>
    <t>ADIT Account 282</t>
  </si>
  <si>
    <t>275, 2, k</t>
  </si>
  <si>
    <t>ADIT Account 283</t>
  </si>
  <si>
    <t>277, 9, k</t>
  </si>
  <si>
    <t>311.x, Total, h</t>
  </si>
  <si>
    <t>Acc. 501 Fuel</t>
  </si>
  <si>
    <t>320, 5, b</t>
  </si>
  <si>
    <t>Acc. 503 Stm./Other Srcs.</t>
  </si>
  <si>
    <t>320, 7, b</t>
  </si>
  <si>
    <t>Acc. 504 Stm. Tfd. (Cre)</t>
  </si>
  <si>
    <t>320, 8, b</t>
  </si>
  <si>
    <t>Acc. 510 Mnt. S&amp;E</t>
  </si>
  <si>
    <t>320, 15, b</t>
  </si>
  <si>
    <t>Acc. 512 Mnt. Blr. Plt.</t>
  </si>
  <si>
    <t>320, 17, b</t>
  </si>
  <si>
    <t>Acc. 513 Mnt. Elect. Plt.</t>
  </si>
  <si>
    <t>320, 18, b</t>
  </si>
  <si>
    <t>Total Power Production Exp. - Steam Power</t>
  </si>
  <si>
    <t>320, 21, b</t>
  </si>
  <si>
    <t>Acc. 518 Fuel</t>
  </si>
  <si>
    <t>320, 25, b</t>
  </si>
  <si>
    <t>Acc. 521 Steam from Other Sources</t>
  </si>
  <si>
    <t>320, 28, b</t>
  </si>
  <si>
    <t>Acc. 522 Steam Transferred - Cr.</t>
  </si>
  <si>
    <t>320, 29, b</t>
  </si>
  <si>
    <t>Acc. 528 Mnt. S&amp;E</t>
  </si>
  <si>
    <t>320, 35, b</t>
  </si>
  <si>
    <t>Acc. 530 Mnt. Reac. Plt.</t>
  </si>
  <si>
    <t>320, 37, b</t>
  </si>
  <si>
    <t>Acc. 531 Mnt. Elect. Plt.</t>
  </si>
  <si>
    <t>320, 38, b</t>
  </si>
  <si>
    <t>Total Power Production Exp. - Nuc. Power</t>
  </si>
  <si>
    <t>320, 41, b</t>
  </si>
  <si>
    <t>Acc. 544 Mnt. Elect. Plt.</t>
  </si>
  <si>
    <t>320, 56, b</t>
  </si>
  <si>
    <t>Acc. 547 Fuel</t>
  </si>
  <si>
    <t>321, 63, b</t>
  </si>
  <si>
    <t>Total Power Production Exp. - Other Power</t>
  </si>
  <si>
    <t>321, 74, b</t>
  </si>
  <si>
    <t>Purchased Power</t>
  </si>
  <si>
    <t>321, 76, b</t>
  </si>
  <si>
    <t>Total Other Power Supply Exp</t>
  </si>
  <si>
    <t>321, 79, b</t>
  </si>
  <si>
    <t>Total Power Production Exp.</t>
  </si>
  <si>
    <t>321, 80, b</t>
  </si>
  <si>
    <t>321, 96, b</t>
  </si>
  <si>
    <t xml:space="preserve">Administrative and general salaries </t>
  </si>
  <si>
    <t>323, 181, b</t>
  </si>
  <si>
    <t xml:space="preserve">Office supplies and expenses  </t>
  </si>
  <si>
    <t>323, 182, b</t>
  </si>
  <si>
    <t xml:space="preserve">Administrative expenses transferred - Credit                                </t>
  </si>
  <si>
    <t>323, 183, b</t>
  </si>
  <si>
    <t xml:space="preserve">Outside services employed  </t>
  </si>
  <si>
    <t>323, 184, b</t>
  </si>
  <si>
    <t xml:space="preserve">Property insurance </t>
  </si>
  <si>
    <t>323, 185, b</t>
  </si>
  <si>
    <t xml:space="preserve">Injuries and damages     </t>
  </si>
  <si>
    <t>323, 186, b</t>
  </si>
  <si>
    <t xml:space="preserve">Employee pensions and benefits </t>
  </si>
  <si>
    <t>323, 187, b</t>
  </si>
  <si>
    <t xml:space="preserve">Franchise requirements </t>
  </si>
  <si>
    <t>323, 188, b</t>
  </si>
  <si>
    <t xml:space="preserve">Regulatory commission expenses                            </t>
  </si>
  <si>
    <t>323, 189, b</t>
  </si>
  <si>
    <t xml:space="preserve">Duplicate charge - Credit   </t>
  </si>
  <si>
    <t>323, 190, b</t>
  </si>
  <si>
    <t xml:space="preserve">General advertising expenses    </t>
  </si>
  <si>
    <t>323, 191, b</t>
  </si>
  <si>
    <t xml:space="preserve">Miscellaneous general expenses      </t>
  </si>
  <si>
    <t>323, 192, b</t>
  </si>
  <si>
    <t xml:space="preserve">Rents  </t>
  </si>
  <si>
    <t>323, 193, b</t>
  </si>
  <si>
    <t xml:space="preserve">Maintenance of general plant   </t>
  </si>
  <si>
    <t>323, 196, b</t>
  </si>
  <si>
    <t>Total A&amp;G related O&amp;M</t>
  </si>
  <si>
    <t>323, 197, b</t>
  </si>
  <si>
    <t>Amount remaining in FCR</t>
  </si>
  <si>
    <t>327.x, Total, j</t>
  </si>
  <si>
    <t>Total - Energy Charges</t>
  </si>
  <si>
    <t>327.x, Total, k</t>
  </si>
  <si>
    <t>336, 1, f</t>
  </si>
  <si>
    <t>Steam Production Plant</t>
  </si>
  <si>
    <t>336, 2, b</t>
  </si>
  <si>
    <t>Nuclear Production Plant</t>
  </si>
  <si>
    <t>336, 3, b</t>
  </si>
  <si>
    <t>Hydraulic Production Plant-Conventional</t>
  </si>
  <si>
    <t>336, 4, b</t>
  </si>
  <si>
    <t>Hydraulic Production Plant-Pumped Storage</t>
  </si>
  <si>
    <t>336, 5, b</t>
  </si>
  <si>
    <t>Other Production Plant</t>
  </si>
  <si>
    <t>336, 6, b</t>
  </si>
  <si>
    <t>General Plant</t>
  </si>
  <si>
    <t>336, 10, f</t>
  </si>
  <si>
    <t>Production Wages Expense</t>
  </si>
  <si>
    <t>354, 20, b</t>
  </si>
  <si>
    <t>354, 21, b</t>
  </si>
  <si>
    <t>354, 23, b</t>
  </si>
  <si>
    <t>354, 24, b</t>
  </si>
  <si>
    <t>354, 25, b</t>
  </si>
  <si>
    <t>354, 26, b</t>
  </si>
  <si>
    <t>A&amp;G Wages Expense</t>
  </si>
  <si>
    <t>354, 27, b</t>
  </si>
  <si>
    <t>Total Wages Expense</t>
  </si>
  <si>
    <t>354, 28, b</t>
  </si>
  <si>
    <t>Reactive Supply and Voltage</t>
  </si>
  <si>
    <t>398, 2, g</t>
  </si>
  <si>
    <t>Regulation and Frequency Response</t>
  </si>
  <si>
    <t>398, 3, g</t>
  </si>
  <si>
    <t>Energy Imbalance</t>
  </si>
  <si>
    <t>398, 4, g</t>
  </si>
  <si>
    <t>Operating Reserve - Spinning</t>
  </si>
  <si>
    <t>398, 5, g</t>
  </si>
  <si>
    <t>Operating Reserve - Supplement</t>
  </si>
  <si>
    <t>398, 6, g</t>
  </si>
  <si>
    <t>Total (MWh)</t>
  </si>
  <si>
    <t>401a, 28, b</t>
  </si>
  <si>
    <t>Net Generation (kWh)</t>
  </si>
  <si>
    <t>402.x/403.x, 12, JEC</t>
  </si>
  <si>
    <t>Oper. Supv. &amp; Engr.</t>
  </si>
  <si>
    <t>402.x/403.x, 19, JEC</t>
  </si>
  <si>
    <t>Total Cost ($)</t>
  </si>
  <si>
    <t xml:space="preserve"> 402.x/403.x, 17, JEC</t>
  </si>
  <si>
    <t xml:space="preserve">Steam expense       </t>
  </si>
  <si>
    <t>402.x/403.x, 22, JEC</t>
  </si>
  <si>
    <t>Steam from other sources</t>
  </si>
  <si>
    <t>402.x/403.x, 23, JEC</t>
  </si>
  <si>
    <t xml:space="preserve">Steam transferred - Credit            </t>
  </si>
  <si>
    <t>402.x/403.x, 24, JEC</t>
  </si>
  <si>
    <t xml:space="preserve">Electric expenses      </t>
  </si>
  <si>
    <t>402.x/403.x, 25, JEC</t>
  </si>
  <si>
    <t xml:space="preserve">Miscellaneous steam power expenses  </t>
  </si>
  <si>
    <t>402.x/403.x, 26, JEC</t>
  </si>
  <si>
    <t>Rents</t>
  </si>
  <si>
    <t>402.x/403.x, 27, JEC</t>
  </si>
  <si>
    <t>Allowances</t>
  </si>
  <si>
    <t>402.x/403.x, 28, JEC</t>
  </si>
  <si>
    <t xml:space="preserve">Maintenance supervision and engineering  </t>
  </si>
  <si>
    <t>402.x/403.x, 29, JEC</t>
  </si>
  <si>
    <t>Maintenance of structures</t>
  </si>
  <si>
    <t>402.x/403.x, 30, JEC</t>
  </si>
  <si>
    <t xml:space="preserve">Maintenance of boiler plant </t>
  </si>
  <si>
    <t>402.x/403.x, 31, JEC</t>
  </si>
  <si>
    <t>Maintenance of electric plant</t>
  </si>
  <si>
    <t>402.x/403.x, 32, JEC</t>
  </si>
  <si>
    <t xml:space="preserve">Maintenance of miscellaneous steam plant </t>
  </si>
  <si>
    <t>402.x/403.x, 33, JEC</t>
  </si>
  <si>
    <t>Installed Capacity</t>
  </si>
  <si>
    <t xml:space="preserve">Total Installed Capacity Tecumseh - Steam </t>
  </si>
  <si>
    <t>402.x/403.x, 5</t>
  </si>
  <si>
    <t>Total Installed Capacity Tecumseh - GT</t>
  </si>
  <si>
    <t>Total Installed Capacity Lawrence - Steam</t>
  </si>
  <si>
    <t>Total Installed Capacity Hutchinson - Steam</t>
  </si>
  <si>
    <t>Total Installed Capacity Hutchinson - GT</t>
  </si>
  <si>
    <t>Total Installed Capacity Gordon Evans - GT</t>
  </si>
  <si>
    <t>Total Installed Capacity Spring Creek - GT</t>
  </si>
  <si>
    <t>Total Installed Capacity Abilene - GT</t>
  </si>
  <si>
    <t>Total Installed Capacity Jeffrey - Steam</t>
  </si>
  <si>
    <t>Total Installed Capacity Emporia - GT</t>
  </si>
  <si>
    <t>Total Installed Capacity Flat Ridge - Wind</t>
  </si>
  <si>
    <t>Total Installed Capacity Central Plains - Wind</t>
  </si>
  <si>
    <t>Total Installed Capacity</t>
  </si>
  <si>
    <t xml:space="preserve">    Intangible [Form 1, pg. 205, ln. 5 col.g]</t>
  </si>
  <si>
    <t>General - Electric Plant in Service</t>
  </si>
  <si>
    <t>219, 28, c</t>
  </si>
  <si>
    <t>Transmission for Electricity by Others</t>
  </si>
  <si>
    <t xml:space="preserve">Account 555, Demand Charges [Form 1, pg. 327.x, Total ln., col. j] </t>
  </si>
  <si>
    <t xml:space="preserve">     Less: Account 555 [Form 1, pg. 327.x, col. k, "Total"]</t>
  </si>
  <si>
    <t xml:space="preserve">   Proprietary Capital [Form 1, pg. 112, ln. 16, col.c.]</t>
  </si>
  <si>
    <t xml:space="preserve">      Less:  Account 219 [Form 1, pg. 112, ln. 15, col. c]</t>
  </si>
  <si>
    <r>
      <t xml:space="preserve">         i)  Demand Charges Revenue</t>
    </r>
    <r>
      <rPr>
        <vertAlign val="superscript"/>
        <sz val="14"/>
        <rFont val="Times New Roman"/>
        <family val="1"/>
      </rPr>
      <t xml:space="preserve"> </t>
    </r>
    <r>
      <rPr>
        <sz val="14"/>
        <rFont val="Times New Roman"/>
        <family val="1"/>
      </rPr>
      <t>[Form 1, pg. 311, col. h, "Total" line]</t>
    </r>
  </si>
  <si>
    <t>Total VOM Revenue Credit ( line i + line ii )</t>
  </si>
  <si>
    <t>[to Item 5, line 2]</t>
  </si>
  <si>
    <t xml:space="preserve"> [to Item 2, line 10]</t>
  </si>
  <si>
    <t>[to Item 2, line 7]</t>
  </si>
  <si>
    <r>
      <t xml:space="preserve">         ii)  Renewable Energy Credits (RECs)</t>
    </r>
    <r>
      <rPr>
        <vertAlign val="superscript"/>
        <sz val="14"/>
        <rFont val="Times New Roman"/>
        <family val="1"/>
      </rPr>
      <t xml:space="preserve"> 4</t>
    </r>
  </si>
  <si>
    <r>
      <t xml:space="preserve">         iii) 50% of Ancillary Services, Schedules 3, 5, and 6 </t>
    </r>
    <r>
      <rPr>
        <vertAlign val="superscript"/>
        <sz val="14"/>
        <rFont val="Times New Roman"/>
        <family val="1"/>
      </rPr>
      <t>1</t>
    </r>
  </si>
  <si>
    <r>
      <t>developed as follows:</t>
    </r>
    <r>
      <rPr>
        <vertAlign val="superscript"/>
        <sz val="14"/>
        <rFont val="Times New Roman"/>
        <family val="1"/>
      </rPr>
      <t xml:space="preserve"> 2</t>
    </r>
  </si>
  <si>
    <r>
      <t xml:space="preserve">Energy </t>
    </r>
    <r>
      <rPr>
        <vertAlign val="superscript"/>
        <sz val="14"/>
        <rFont val="Times New Roman"/>
        <family val="1"/>
      </rPr>
      <t>3</t>
    </r>
  </si>
  <si>
    <r>
      <t xml:space="preserve">VOM Energy Credit </t>
    </r>
    <r>
      <rPr>
        <vertAlign val="superscript"/>
        <sz val="14"/>
        <rFont val="Times New Roman"/>
        <family val="1"/>
      </rPr>
      <t>3</t>
    </r>
  </si>
  <si>
    <r>
      <rPr>
        <vertAlign val="superscript"/>
        <sz val="14"/>
        <rFont val="Times New Roman"/>
        <family val="1"/>
      </rPr>
      <t>1</t>
    </r>
    <r>
      <rPr>
        <sz val="14"/>
        <rFont val="Times New Roman"/>
        <family val="1"/>
      </rPr>
      <t xml:space="preserve"> An estimate for the cost of "self-supplying" Schedules 3, 5 and 6 to retail load is added as long as</t>
    </r>
  </si>
  <si>
    <r>
      <t>3</t>
    </r>
    <r>
      <rPr>
        <sz val="14"/>
        <rFont val="Times New Roman"/>
        <family val="1"/>
      </rPr>
      <t xml:space="preserve"> Energy is from Form 1, pg. 401a, ln. 28, col. (b).  VOM Energy Credit is from [Wk. M]</t>
    </r>
  </si>
  <si>
    <r>
      <t>1</t>
    </r>
    <r>
      <rPr>
        <sz val="14"/>
        <rFont val="Times New Roman"/>
        <family val="1"/>
      </rPr>
      <t xml:space="preserve">  From Item 2, line 9.</t>
    </r>
  </si>
  <si>
    <r>
      <t>2</t>
    </r>
    <r>
      <rPr>
        <sz val="14"/>
        <rFont val="Times New Roman"/>
        <family val="1"/>
      </rPr>
      <t xml:space="preserve">  From Item 2, line 10.</t>
    </r>
  </si>
  <si>
    <r>
      <t>Rev. Req.</t>
    </r>
    <r>
      <rPr>
        <b/>
        <vertAlign val="superscript"/>
        <sz val="10"/>
        <rFont val="Times New Roman"/>
        <family val="1"/>
      </rPr>
      <t>1</t>
    </r>
  </si>
  <si>
    <t>K  +  L (prior year)       + N (prior year)</t>
  </si>
  <si>
    <r>
      <t>Rate</t>
    </r>
    <r>
      <rPr>
        <b/>
        <vertAlign val="superscript"/>
        <sz val="10"/>
        <rFont val="Times New Roman"/>
        <family val="1"/>
      </rPr>
      <t>4</t>
    </r>
  </si>
  <si>
    <t xml:space="preserve">                   EEC or HEC    </t>
  </si>
  <si>
    <t>Ending Balance</t>
  </si>
  <si>
    <t>Account 111</t>
  </si>
  <si>
    <t>Note:  According to federal statutes, the allowed deduction must be the lesser of allowed percentages</t>
  </si>
  <si>
    <t>Reflected</t>
  </si>
  <si>
    <t>in Rates</t>
  </si>
  <si>
    <t>Put in</t>
  </si>
  <si>
    <t>Service</t>
  </si>
  <si>
    <t>(B) - (E)</t>
  </si>
  <si>
    <t>1.</t>
  </si>
  <si>
    <t xml:space="preserve">Customer’s Billing Demand multiplied by the Demand Charge;  </t>
  </si>
  <si>
    <t>2.</t>
  </si>
  <si>
    <t xml:space="preserve">Firm Energy multiplied by the Energy Charge; </t>
  </si>
  <si>
    <t>3.</t>
  </si>
  <si>
    <t>4.</t>
  </si>
  <si>
    <t>5.</t>
  </si>
  <si>
    <t>6.</t>
  </si>
  <si>
    <t xml:space="preserve">Applicable taxes, fees and assessments attributable to Full Requirements Electric Service not included in any of the other elements of the monthly bill ("Applicable Taxes"); and  </t>
  </si>
  <si>
    <r>
      <t>3</t>
    </r>
    <r>
      <rPr>
        <sz val="14"/>
        <rFont val="Times New Roman"/>
        <family val="1"/>
      </rPr>
      <t xml:space="preserve">  A Rate Adjustment shall not be made in years when the Preliminary Over(Under) Recovery is "0."  In other years, the Rate Adjustment is limited to the lesser of the difference  between the Current-Year Capacity Rev. Req. Rate and the Preliminary Demand Charge or the prior year's Cummulative Actual Over(Under) Recovery, divided by the current Divisor, divided by 12.</t>
    </r>
  </si>
  <si>
    <t xml:space="preserve">          Other [Form 1, pg. 354, lns. 24-26, col. b]</t>
  </si>
  <si>
    <t>The letter designations used in the Work Requests and elsewhere in this workpaper mean as follows:</t>
  </si>
  <si>
    <t>New work orders added in the current annual update are highlighted in color.</t>
  </si>
  <si>
    <t>The procedure for determining the AFUDC credit is outlined in Attachment E, Section I, para.5, to the Agreement.</t>
  </si>
  <si>
    <r>
      <t xml:space="preserve">Work Request </t>
    </r>
    <r>
      <rPr>
        <vertAlign val="superscript"/>
        <sz val="10"/>
        <rFont val="Times New Roman"/>
        <family val="1"/>
      </rPr>
      <t>1</t>
    </r>
  </si>
  <si>
    <r>
      <t>Identifier</t>
    </r>
    <r>
      <rPr>
        <b/>
        <vertAlign val="superscript"/>
        <sz val="10"/>
        <rFont val="Times New Roman"/>
        <family val="1"/>
      </rPr>
      <t>1</t>
    </r>
  </si>
  <si>
    <r>
      <t>Cost Rate</t>
    </r>
    <r>
      <rPr>
        <vertAlign val="superscript"/>
        <sz val="11"/>
        <rFont val="Times New Roman"/>
        <family val="1"/>
      </rPr>
      <t>2</t>
    </r>
  </si>
  <si>
    <r>
      <t>in Year</t>
    </r>
    <r>
      <rPr>
        <vertAlign val="superscript"/>
        <sz val="11"/>
        <rFont val="Times New Roman"/>
        <family val="1"/>
      </rPr>
      <t>1</t>
    </r>
  </si>
  <si>
    <r>
      <t xml:space="preserve">1 </t>
    </r>
    <r>
      <rPr>
        <sz val="10"/>
        <rFont val="Times New Roman"/>
        <family val="1"/>
      </rPr>
      <t>The current portion of long term debt is included in the Net Amount Outstanding at t = N.  The outstanding amount (col. (d)) for debt retired during the year is the outstanding amount at the last month it was outstanding in the test year.</t>
    </r>
  </si>
  <si>
    <r>
      <t xml:space="preserve">2 </t>
    </r>
    <r>
      <rPr>
        <sz val="10"/>
        <rFont val="Times New Roman"/>
        <family val="1"/>
      </rPr>
      <t>See next page.  Interim (individual debenture) debt cost calculations shall be taken to four decimals in percentages (e.g., 7.2300%, 5.2582%); Final Total Weighted Average Debt Cost for the Formula Rate shall be rounded to two decimals of a percent (e.g., 7.13%).</t>
    </r>
  </si>
  <si>
    <r>
      <t xml:space="preserve">3 </t>
    </r>
    <r>
      <rPr>
        <sz val="10"/>
        <rFont val="Times New Roman"/>
        <family val="1"/>
      </rPr>
      <t>Total Weighted Average Debt Cost will be shown on Item 6, as the cost of Long term debt.</t>
    </r>
  </si>
  <si>
    <r>
      <t>(Expense)</t>
    </r>
    <r>
      <rPr>
        <vertAlign val="superscript"/>
        <sz val="10"/>
        <rFont val="Times New Roman"/>
        <family val="1"/>
      </rPr>
      <t>5</t>
    </r>
  </si>
  <si>
    <r>
      <t>Affiliate</t>
    </r>
    <r>
      <rPr>
        <vertAlign val="superscript"/>
        <sz val="11"/>
        <rFont val="Times New Roman"/>
        <family val="1"/>
      </rPr>
      <t>4</t>
    </r>
  </si>
  <si>
    <r>
      <t>Debt</t>
    </r>
    <r>
      <rPr>
        <vertAlign val="superscript"/>
        <sz val="11"/>
        <rFont val="Times New Roman"/>
        <family val="1"/>
      </rPr>
      <t>2</t>
    </r>
  </si>
  <si>
    <r>
      <t>Rate</t>
    </r>
    <r>
      <rPr>
        <vertAlign val="superscript"/>
        <sz val="11"/>
        <rFont val="Times New Roman"/>
        <family val="1"/>
      </rPr>
      <t>3</t>
    </r>
  </si>
  <si>
    <r>
      <t>Issuance</t>
    </r>
    <r>
      <rPr>
        <vertAlign val="superscript"/>
        <sz val="11"/>
        <rFont val="Times New Roman"/>
        <family val="1"/>
      </rPr>
      <t>1</t>
    </r>
  </si>
  <si>
    <r>
      <t>1</t>
    </r>
    <r>
      <rPr>
        <sz val="10"/>
        <rFont val="Times New Roman"/>
        <family val="1"/>
      </rPr>
      <t>YTM calculated from an acceptable bond table or from YTM = Internal Rate of Return (IRR) calculation consistent with requirements of FERC regulation § 35.13(h)(22).  IRR calculations reflect the actual timing of cash flows on an actual date or periodic semi-annual, quarterly, etc. schedule, rather than accrual accounting.</t>
    </r>
  </si>
  <si>
    <r>
      <t xml:space="preserve">2 </t>
    </r>
    <r>
      <rPr>
        <sz val="10"/>
        <rFont val="Times New Roman"/>
        <family val="1"/>
      </rPr>
      <t>Unamortized gains/losses on reacquisition of debt are reflected at t=0 to obtain Net Proceeds for the new (refunding vehicle) issuance or at t=N in the true-up year N to increase/reduce interest cash flows of a different existing and active long term debt issuance.</t>
    </r>
  </si>
  <si>
    <r>
      <t xml:space="preserve">3 </t>
    </r>
    <r>
      <rPr>
        <sz val="10"/>
        <rFont val="Times New Roman"/>
        <family val="1"/>
      </rPr>
      <t>Interest rate for variable rate bonds is equal to dollar annual interest paid (per FERC Form 1 p. 256-257) divided by the face value of the bond plus 25 basis points to cover broker/dealer fees or a different basis point adder.  Select broker/dealers have reduced fees; percent added to the interest rate reflects actual fees paid in 2012.</t>
    </r>
  </si>
  <si>
    <r>
      <t xml:space="preserve">4 </t>
    </r>
    <r>
      <rPr>
        <sz val="10"/>
        <rFont val="Times New Roman"/>
        <family val="1"/>
      </rPr>
      <t>Affiliate names shall be listed by issuance separately in the applicant and informational filings.</t>
    </r>
  </si>
  <si>
    <t>If Line 4 is &lt; or = 0, Stop Here, No Deduction Allowed</t>
  </si>
  <si>
    <t>If Line 4 &gt; 0, Complete Criteria B</t>
  </si>
  <si>
    <t>If Line 11 = 0, Stop Here, No Deduction Allowed</t>
  </si>
  <si>
    <t>If Line 11 &gt; 0, Complete Criteria C</t>
  </si>
  <si>
    <t>Months Before SPP IM</t>
  </si>
  <si>
    <t>Months After SPP IM</t>
  </si>
  <si>
    <t>A credit for Customer SWPA/WAPA Resources listed on Attachment B to the Agreement;</t>
  </si>
  <si>
    <t xml:space="preserve"> [to Item 5, line 4]</t>
  </si>
  <si>
    <t xml:space="preserve">    Less:  ARO Account 337 [Form 1, pg. 205, ln. 34, col. g]</t>
  </si>
  <si>
    <t xml:space="preserve">    Less:  ARO Account 317 [Form 1, pg. 205, ln. 15, col. g]</t>
  </si>
  <si>
    <t xml:space="preserve">    Less:  ARO Account 347 [Form 1, pg. 205, ln. 44, col. g]</t>
  </si>
  <si>
    <t xml:space="preserve">    Less:  ARO Account 326 [Form 1, pg. 205, ln. 24, col. g]</t>
  </si>
  <si>
    <t xml:space="preserve">    Less:  ARO Account 399.1 [Form 1, pg. 207, ln. 98, col. g]</t>
  </si>
  <si>
    <r>
      <t>Subtotals</t>
    </r>
    <r>
      <rPr>
        <strike/>
        <sz val="10"/>
        <color indexed="10"/>
        <rFont val="Times New Roman"/>
        <family val="1"/>
      </rPr>
      <t xml:space="preserve"> </t>
    </r>
  </si>
  <si>
    <t>205, 15, g</t>
  </si>
  <si>
    <t>(317) Asset Retirement Costs for Steam Production</t>
  </si>
  <si>
    <t>205, 24, g</t>
  </si>
  <si>
    <t>205, 34, g</t>
  </si>
  <si>
    <t>205, 44, g</t>
  </si>
  <si>
    <t>(326) Asset Retirement Costs for Nuclear Production</t>
  </si>
  <si>
    <t>(337) Asset Retirement Costs for Hydraulic Production</t>
  </si>
  <si>
    <t>(347) Asset Retirement Costs for Other Production</t>
  </si>
  <si>
    <t>207, 98, g</t>
  </si>
  <si>
    <t>(399.1) Asset Retirement Costs for General Plant</t>
  </si>
  <si>
    <t xml:space="preserve">     Less: Impact of Renewable Electricity Production Tax Credit (PTC) under ATRA 2013</t>
  </si>
  <si>
    <r>
      <t>RECA/ECA</t>
    </r>
    <r>
      <rPr>
        <vertAlign val="superscript"/>
        <sz val="12"/>
        <rFont val="Times New Roman"/>
        <family val="1"/>
      </rPr>
      <t xml:space="preserve">1 </t>
    </r>
  </si>
  <si>
    <r>
      <t>RECA/ECA</t>
    </r>
    <r>
      <rPr>
        <vertAlign val="superscript"/>
        <sz val="12"/>
        <rFont val="Times New Roman"/>
        <family val="1"/>
      </rPr>
      <t>1</t>
    </r>
  </si>
  <si>
    <t>(Commodity)</t>
  </si>
  <si>
    <t>WORKSHEET J, REFUNDS AND SURCHARGES</t>
  </si>
  <si>
    <t>WORKSHEET K, DEPRECIATION EXPENSE AND ACCUMULATED RESERVE FOR DEPRECIATION</t>
  </si>
  <si>
    <t xml:space="preserve">    Production [Form 1, pg. 336, lns. 2 - 6, col. f, or Wk. K]</t>
  </si>
  <si>
    <t xml:space="preserve">    Production [Form 1, pg. 219, lns. 20 - 24, col.b, or Wk. K]</t>
  </si>
  <si>
    <t>FORM 1 INPUTS</t>
  </si>
  <si>
    <t>FORM 1 INPUTS (TRANSITION YEAR)</t>
  </si>
  <si>
    <t xml:space="preserve">The estimated identifiable fossil and nuclear fuel costs and renewable resource costs associated with energy purchased during the Billing Month for reasons other than identified in NI below.  Energy purchased costs are those properly recorded as purchased energy costs in FERC Account 555, and are exclusive of capacity, demand or other fixed charges. For periods prior to the implementation of the Southwest Power Pool Integrated Marketplace (“SPP IM”), the energy purchased costs include the estimated fuel costs of energy purchased for reasons other than identified in NI below.  For periods subsequent to the implementation of the SPP IM, the revenue received from the sale of power to third parties (including the SPP) shall be credited as an offset to purchased power.  Additionally, purchases from the renewable generators, the SPP and other charges and credits shall be reflected as purchased power.  Other charges and credits may include (but are not limited to) transmission charges, Transmission Congestion Rights (“TCRs”), Auction Revenue Rights (“ARRs”), regulation, reserves and make-whole transactions.  Purchased energy shall be reduced by the cost of fuel and purchased power associated with wholesale agreement(s) that allow incremental fuel cost recovery or unit-specific fuel cost recovery. </t>
  </si>
  <si>
    <t xml:space="preserve">FIT (Federal Income Tax Rate) as of year end =     </t>
  </si>
  <si>
    <t xml:space="preserve">SIT (State Income Tax Rate) as of year end  =                      </t>
  </si>
  <si>
    <t xml:space="preserve">p (% of FIT deductible for SIT) as of year end =                </t>
  </si>
  <si>
    <t xml:space="preserve">                                                       in a Section 205/206 filing.</t>
  </si>
  <si>
    <t>Subtotals</t>
  </si>
  <si>
    <t>Allocator [ GP for col. E and W&amp;S for col. F]</t>
  </si>
  <si>
    <r>
      <t>1</t>
    </r>
    <r>
      <rPr>
        <sz val="12"/>
        <rFont val="Times New Roman"/>
        <family val="1"/>
      </rPr>
      <t xml:space="preserve"> Form 1, pg 310, col a, for companies or public authorities to which GFR Template is applicable.</t>
    </r>
  </si>
  <si>
    <t xml:space="preserve">   customer's monthly energy, then summed for the calendar year.  </t>
  </si>
  <si>
    <r>
      <t>3</t>
    </r>
    <r>
      <rPr>
        <sz val="12"/>
        <rFont val="Times New Roman"/>
        <family val="1"/>
      </rPr>
      <t xml:space="preserve"> For each GFR customer, this amount shall be equal to the customer's monthly energy, summed for the calendar year. </t>
    </r>
  </si>
  <si>
    <t>of consolidated taxable income, or W-2 wages, or QPAI.  Data from company records.</t>
  </si>
  <si>
    <r>
      <t xml:space="preserve">Regulatory Asset,  Amortization Expense </t>
    </r>
    <r>
      <rPr>
        <strike/>
        <vertAlign val="superscript"/>
        <sz val="12"/>
        <rFont val="Times New Roman"/>
        <family val="1"/>
      </rPr>
      <t>4</t>
    </r>
  </si>
  <si>
    <r>
      <t>Total (FAS 106  +  FAS 112  +  Reg. Asset, Amort. Exp.)</t>
    </r>
    <r>
      <rPr>
        <vertAlign val="superscript"/>
        <sz val="12"/>
        <rFont val="Times New Roman"/>
        <family val="1"/>
      </rPr>
      <t>4</t>
    </r>
  </si>
  <si>
    <r>
      <t>[ to Item 4</t>
    </r>
    <r>
      <rPr>
        <sz val="12"/>
        <rFont val="Times New Roman"/>
        <family val="1"/>
      </rPr>
      <t>]</t>
    </r>
  </si>
  <si>
    <r>
      <t>4</t>
    </r>
    <r>
      <rPr>
        <sz val="12"/>
        <rFont val="Times New Roman"/>
        <family val="1"/>
      </rPr>
      <t xml:space="preserve"> The amounts for Post-Employment Benefits other than Pensions shown above shall be recovered in the formula rate until changes are</t>
    </r>
  </si>
  <si>
    <t>Accum Prov for Property Ins</t>
  </si>
  <si>
    <t>9.  Net Current - Year Capacity Revenue Requirement (ln. 6 - ln. 7 + ln. 8)</t>
  </si>
  <si>
    <r>
      <t>8.  Adjustment for Refunds and Surcharges [ Wk. J ]</t>
    </r>
    <r>
      <rPr>
        <vertAlign val="superscript"/>
        <sz val="12"/>
        <rFont val="Times New Roman"/>
        <family val="1"/>
      </rPr>
      <t>2</t>
    </r>
  </si>
  <si>
    <t>Advances from Associated Companies (only incl LT portion)</t>
  </si>
  <si>
    <t>Interest on Debt to Assoc. Companies (only incl LT portion)</t>
  </si>
  <si>
    <t>Customer Service System Software</t>
  </si>
  <si>
    <t>Other Software</t>
  </si>
  <si>
    <t>Amortization</t>
  </si>
  <si>
    <t>L01516 - Santa Fe</t>
  </si>
  <si>
    <t>303.00 -  License Renewal &amp; Plant Aging</t>
  </si>
  <si>
    <t>License Renewal &amp; Plant Aging</t>
  </si>
  <si>
    <t>Lease</t>
  </si>
  <si>
    <t>(B + C + D + E)</t>
  </si>
  <si>
    <t xml:space="preserve">Jan </t>
  </si>
  <si>
    <t>JEC011117901</t>
  </si>
  <si>
    <t>PROJECT #0111179. JCOM COOLING TOWER BLOWDOWN LINE</t>
  </si>
  <si>
    <t xml:space="preserve">Project #0111179. JCom Cooling Tower Blowdown Line to the Kansas River.  As part of the Cooling Tower Blowdown Upgrades project, we intend to replace all the existing gate and air relief valves along the well line with new valves. </t>
  </si>
  <si>
    <t>JEC011205201</t>
  </si>
  <si>
    <t>J2 SNCR AND SMARTBURN INSTALLATION</t>
  </si>
  <si>
    <t>J2 SNCR and Smartburn Installation</t>
  </si>
  <si>
    <t>JEC011300301</t>
  </si>
  <si>
    <t>BI #0113003 - JCOM FGD WASTEWATER TREATMENT SYSTEM</t>
  </si>
  <si>
    <t>BI #0113003 - JCom FGD Wastewater Treatment System Full Scale Design &amp; Construction.  For 2013 design work and construction.</t>
  </si>
  <si>
    <t>JEC011410201</t>
  </si>
  <si>
    <t>PROJECT 0114102 - J1 LP TURBINE UPGRADE</t>
  </si>
  <si>
    <t>Project 0114102 - J1 LP Turbine Upgrade 2013 - Replacement of LP Rotors and inner cases with upgrade components</t>
  </si>
  <si>
    <t>E011388801</t>
  </si>
  <si>
    <t>PROJECT  0113888 - 7EA CAPITAL SPARES PURCHASE</t>
  </si>
  <si>
    <t>Project  0113888 - 7EA Capital Spares Purchase - Evans</t>
  </si>
  <si>
    <t>05701 JEC011205201</t>
  </si>
  <si>
    <t>J2 SNCR and Smartburn Installation.</t>
  </si>
  <si>
    <t>05701 JEC011300301</t>
  </si>
  <si>
    <t>05701 JEC011410201</t>
  </si>
  <si>
    <t>Project 0114102 - J1 LP Turbine Upgrade 2013 - Replacement of LP Rotors and inner cases with upgrade components.</t>
  </si>
  <si>
    <t>05984 7003273</t>
  </si>
  <si>
    <t>REPLACE FUEL YARD DUCT BANK</t>
  </si>
  <si>
    <t>Fuel Yard Duct Bank Replacement.</t>
  </si>
  <si>
    <t>05984 7103267</t>
  </si>
  <si>
    <t>LA CYGNE DCS UNIT 1</t>
  </si>
  <si>
    <t>La Cygne DCS Unit 1 Environmental Upgrades.</t>
  </si>
  <si>
    <t xml:space="preserve">0110435 - L5 GSU replacement 2012 work order.  Estimate 2012 cost at $1.79 M with total project of $5.46M.  Refer to 2011 WO 1100863 and 2010 WO 1007029 for further details.  This project will replace the GE 448 MVA GSU transformer on L5.  </t>
  </si>
  <si>
    <t>Software Enhancement</t>
  </si>
  <si>
    <t>Purchase and Implement CMMS software</t>
  </si>
  <si>
    <t>1068:000000- Software</t>
  </si>
  <si>
    <t>Create Stds&amp; Autocad Drwngs Substa</t>
  </si>
  <si>
    <t>Operator Training Program Software</t>
  </si>
  <si>
    <t>Purchase and implement Substation CMMS - Cascade software   SIR BEDA-8FWHFB_x000D_</t>
  </si>
  <si>
    <t>Purchase and implement Substation CMMS-  Cascade software   SIR BEDA-8FWHFB</t>
  </si>
  <si>
    <t>2013 Security Initiatives purch of Palo Also Networks Software</t>
  </si>
  <si>
    <t>NEW Accounting System - project beginning in 2012</t>
  </si>
  <si>
    <t>2012 HP Quality Assur Software</t>
  </si>
  <si>
    <t>2012 Information Technology install ePower Portal 7 upgrade software</t>
  </si>
  <si>
    <t>System Center Configuration Manager license upgrade 2012</t>
  </si>
  <si>
    <t>2012 SPP Phase II- MCG IAM Implementation-system to perform Energy tagging function</t>
  </si>
  <si>
    <t>SPP Phase II - Develop an archive database to preserve data from the PCI system</t>
  </si>
  <si>
    <t>2012 - Purchase of Software PLEXOS for Power Systems with Xpress Solver</t>
  </si>
  <si>
    <t>2012 IT App Sense Project for GENCO - Software purchase</t>
  </si>
  <si>
    <t>2012 Identity Management Software Enhancements - linked to 2012 Hardware WO A77362</t>
  </si>
  <si>
    <t>14-AP: &amp; EmpExp UAT work for F&amp;A</t>
  </si>
  <si>
    <t>PrePay project for Suct Svc</t>
  </si>
  <si>
    <t>MCE Gold Motor Asset Management Pro</t>
  </si>
  <si>
    <t>2014 AD Migration Proj</t>
  </si>
  <si>
    <t>PowerBase Relay Testing Software</t>
  </si>
  <si>
    <t>2014 C3Comm-Capitalization</t>
  </si>
  <si>
    <t>Software Lic Purch - OBIEE</t>
  </si>
  <si>
    <t>2014 Finance Forcast Software</t>
  </si>
  <si>
    <t>SVCNOW Customize Ph II</t>
  </si>
  <si>
    <t>DesignerExpress-EAM Ph I</t>
  </si>
  <si>
    <t>XenDesktop Project</t>
  </si>
  <si>
    <t>IT-SmartGrid OMS</t>
  </si>
  <si>
    <t>Catepillar Training Program License</t>
  </si>
  <si>
    <t>SmartStar OMS software purch</t>
  </si>
  <si>
    <t>SmartStar Analytics Software</t>
  </si>
  <si>
    <t>Virtual Hold Mobile App</t>
  </si>
  <si>
    <t>2013 Cyber-Ark Soft Purch</t>
  </si>
  <si>
    <t>2013 PaloAlto Softwr purch</t>
  </si>
  <si>
    <t>BIG FIX &amp; SIEM &amp; SPLUNK</t>
  </si>
  <si>
    <t>2013 Sharepoint Lic</t>
  </si>
  <si>
    <t>HRMS Project</t>
  </si>
  <si>
    <t>2013 DataCenter Lic</t>
  </si>
  <si>
    <t>SCCM Lic upgrade purchase</t>
  </si>
  <si>
    <t>2013 Passport Adv New Lic</t>
  </si>
  <si>
    <t>RSA Lic purch - 2013</t>
  </si>
  <si>
    <t>2013 EMS PI Server software upgrades from 60K to 80K tags</t>
  </si>
  <si>
    <t>Clsd Loop Combustn Optimn SW</t>
  </si>
  <si>
    <t>Install Microsoft Office 2007, Project and Visio.</t>
  </si>
  <si>
    <t>PeopleSoft G/L Interface Development</t>
  </si>
  <si>
    <t>Sharpe equipment purchase Kepco</t>
  </si>
  <si>
    <t>Access Screening Software</t>
  </si>
  <si>
    <t>Clsd Loop Combustn SW - 12</t>
  </si>
  <si>
    <t>ETAP Power System Analysis Software</t>
  </si>
  <si>
    <t>Learning Management System Software</t>
  </si>
  <si>
    <t>Microsoft Office Software</t>
  </si>
  <si>
    <t>NEW ACCOUNTING SYSTEM</t>
  </si>
  <si>
    <t>PeopleSoft 9.2 Human Resources</t>
  </si>
  <si>
    <t>Scheduling Software</t>
  </si>
  <si>
    <t>RECA Reclass</t>
  </si>
  <si>
    <t>05701 JEC011305201</t>
  </si>
  <si>
    <t>05701 JEC011305401</t>
  </si>
  <si>
    <t>L011305501</t>
  </si>
  <si>
    <t>05877 TGO011098701</t>
  </si>
  <si>
    <t>J011300302</t>
  </si>
  <si>
    <t>J011414901</t>
  </si>
  <si>
    <t>L011305701</t>
  </si>
  <si>
    <t>05701 JEC011305301</t>
  </si>
  <si>
    <t>J011412301</t>
  </si>
  <si>
    <t>Development of plant site specific training modules for generation.</t>
  </si>
  <si>
    <t>05984 7003214</t>
  </si>
  <si>
    <t>05984 10001005</t>
  </si>
  <si>
    <t>05984 10000422</t>
  </si>
  <si>
    <t>05984 10000231</t>
  </si>
  <si>
    <t>05984 7003262</t>
  </si>
  <si>
    <t>05984 10000421</t>
  </si>
  <si>
    <t>05984 7203279</t>
  </si>
  <si>
    <t>La Cygne Nonexempt Sales-Use Tax</t>
  </si>
  <si>
    <t>GENERATOR STATOR REWIND</t>
  </si>
  <si>
    <t>DEVELOPMENT OF PLANT SITE SPECIFIC</t>
  </si>
  <si>
    <t>BI# 0114149 - J1 STACK LINER UPGRADE</t>
  </si>
  <si>
    <t xml:space="preserve">FOR MECHANICAL MAINTENANCE TO TIG </t>
  </si>
  <si>
    <t>FOR MECHANICAL MAINTENANCE TO TIG w</t>
  </si>
  <si>
    <t>L2 LP TURBINE BUCKET REPLACEMENT</t>
  </si>
  <si>
    <t>LA CYGNE NONEXEMPT SALES-USE TX</t>
  </si>
  <si>
    <t>L4 Activated Carbon Injection System.  For engineering, equipment procurement, and installation.  System includes storage silo, unloading equipment and injection grid.  System injects powdered activated carbon into flue gas to absorb vaporized mercury.</t>
  </si>
  <si>
    <t>L5 Activated Carbon Injection.  For engineering, equipment procurement and installation.  System includes storage silo, unloading equipment and injection grid.  System injects powdered activated carbon into flue gas to absorb vaporized mercury.</t>
  </si>
  <si>
    <t>La Cygne U1 Environmental Site Restoration</t>
  </si>
  <si>
    <t>REPLACE HRH PIPING UNDER TURBINE</t>
  </si>
  <si>
    <t>REPLACE GENERATOR STATOR WINDING &amp; WEDGES</t>
  </si>
  <si>
    <t>REPLACE SSH INTERMEDIATE BANK L1</t>
  </si>
  <si>
    <t>REPLACE SSH OUTLET BANK L1</t>
  </si>
  <si>
    <t>J1 Activated Carbon Injection System.  For engineering, equipment procurement, and installation.  Project installs Activated Carbon Injection (ACI) System on JEC1.  System includes storage silo, unloading equipment, and injection grid.  System injects powdered activated carbon into flue gas to absorb vaporized mercury.  Activated carbon with captured mercury is then collected with fly ash in electrostatic precipitator.</t>
  </si>
  <si>
    <t>BI #0113052 - J1 ACTIVATED CARBON INJECTION SYSTEM</t>
  </si>
  <si>
    <t>J2 Activated Carbon Injection System.  For engineering, equipment procurement, and installation.  Project installs Activated Carbon Injection (ACI) System on JEC2.  System includes storage silo, unloading equipment, and injection grid.  System injects powdered activated carbon into flue gas to absorb vaporized mercury.  Activated carbon with captured mercury is then collected with fly ash in electrostatic precipitator.</t>
  </si>
  <si>
    <t>BI #0113053 - J2 ACTIVATED CARBON INJECTION SYSTEM</t>
  </si>
  <si>
    <t>J3 Activated Carbon Injection System.  For engineering, equipment procurement, and installation.  Project installs Activated Carbon Injection (ACI) System on JEC3.  System includes storage silo, unloading equipment, and injection grid.  System injects powdered activated carbon into flue gas to absorb vaporized mercury.  Activated carbon with captured mercury is then collected with fly ash in electrostatic precipitator.</t>
  </si>
  <si>
    <t>BI #0113054 - J3 ACTIVATED CARBON INJECTION SYSTEM</t>
  </si>
  <si>
    <t>BI #0113055 - L4 ACTIVATED CARBON INJECTION SYSTEM</t>
  </si>
  <si>
    <t>BI# 0113057 - L5 ACTIVATED CARBON INJECTION</t>
  </si>
  <si>
    <t>For Mechanical Maintenance to TIG weld on the HP inner case.  It will be at the horizontal joint (both sides) at the large U-seal face.  This project will cover the disassembly, clean, inspect, repair (as needed), and re-assembly of the J1 Hp and lp turbines.  The re-rounding of the HP inner turbine casing, and the replacement of all 12 stationary blade rows.  The replacement and coating of the first stage of IP stationary blades will also be included in this project.</t>
  </si>
  <si>
    <t xml:space="preserve">J1 Stack Liner Upgrade.  For engineering, equipment procurement and installation.  This project upgrades the J1 Stack Liner by coating the interior of the gunnite liner with a Sauereisen coating. </t>
  </si>
  <si>
    <t>BI #0113003.02 - JCOM FGD WASTEWATER TREATMENT SYSTEM</t>
  </si>
  <si>
    <t>BI #0113003.02 - JCom FGD Wastewater Treatment System - Ammonia Removal System.  This project is for the full scale design and construction of an FGD wastewater treatment system for JEC.  The system consists of a sulfate precipitation system and constructed wetlands treatment system.  The treated wastewater will be reused as cooling tower make-up water prior to discharge to the Kansas River.</t>
  </si>
  <si>
    <t>LAC U1 ENVIRONMENTAL SITE RESTORATION</t>
  </si>
  <si>
    <t xml:space="preserve">Preferred Dividends </t>
  </si>
  <si>
    <t>Preferred Dividends</t>
  </si>
  <si>
    <r>
      <t>1</t>
    </r>
    <r>
      <rPr>
        <sz val="12"/>
        <rFont val="Times New Roman"/>
        <family val="1"/>
      </rPr>
      <t xml:space="preserve"> Significant rounding of EXCEL calculations (which calculate infinite decimal places) for both Ratebase (Item 3, ln 5 ) and Pre-Tax Weighted Cost of Capital ((R in Item 6 ) produces a slightly higher amount than when R is rounded in Item 6</t>
    </r>
    <r>
      <rPr>
        <sz val="12"/>
        <color indexed="10"/>
        <rFont val="Times New Roman"/>
        <family val="1"/>
      </rPr>
      <t xml:space="preserve"> </t>
    </r>
    <r>
      <rPr>
        <sz val="12"/>
        <rFont val="Times New Roman"/>
        <family val="1"/>
      </rPr>
      <t>and Ratebase rounded to whole dollars is used.</t>
    </r>
  </si>
  <si>
    <r>
      <t>Account 223 [Form 1, pg. 112, ln. 20, col. c]</t>
    </r>
    <r>
      <rPr>
        <vertAlign val="superscript"/>
        <sz val="12"/>
        <rFont val="Times New Roman"/>
        <family val="1"/>
      </rPr>
      <t>5</t>
    </r>
  </si>
  <si>
    <r>
      <t>Rate</t>
    </r>
    <r>
      <rPr>
        <vertAlign val="superscript"/>
        <sz val="12"/>
        <rFont val="Times New Roman"/>
        <family val="1"/>
      </rPr>
      <t>3</t>
    </r>
  </si>
  <si>
    <r>
      <t xml:space="preserve">Amortization </t>
    </r>
    <r>
      <rPr>
        <vertAlign val="superscript"/>
        <sz val="12"/>
        <rFont val="Times New Roman"/>
        <family val="1"/>
      </rPr>
      <t>1</t>
    </r>
  </si>
  <si>
    <r>
      <t>Term</t>
    </r>
    <r>
      <rPr>
        <vertAlign val="superscript"/>
        <sz val="12"/>
        <rFont val="Times New Roman"/>
        <family val="1"/>
      </rPr>
      <t>5</t>
    </r>
  </si>
  <si>
    <r>
      <t xml:space="preserve">Intangible &amp; General Plant Depreciation Rates </t>
    </r>
    <r>
      <rPr>
        <vertAlign val="superscript"/>
        <sz val="12"/>
        <rFont val="Times New Roman"/>
        <family val="1"/>
      </rPr>
      <t>2, 3</t>
    </r>
  </si>
  <si>
    <r>
      <t>2</t>
    </r>
    <r>
      <rPr>
        <sz val="12"/>
        <rFont val="Times New Roman"/>
        <family val="1"/>
      </rPr>
      <t xml:space="preserve">  The amortization rates are also listed on Worksheet S. </t>
    </r>
  </si>
  <si>
    <r>
      <t>3</t>
    </r>
    <r>
      <rPr>
        <sz val="12"/>
        <rFont val="Times New Roman"/>
        <family val="1"/>
      </rPr>
      <t xml:space="preserve">  These amortization rates may not be changed absent a Section 205 or 206 filing.</t>
    </r>
  </si>
  <si>
    <r>
      <t>4</t>
    </r>
    <r>
      <rPr>
        <sz val="12"/>
        <rFont val="Times New Roman"/>
        <family val="1"/>
      </rPr>
      <t xml:space="preserve">  Fully reserved, therefore no amortization after end of life date.</t>
    </r>
  </si>
  <si>
    <r>
      <rPr>
        <vertAlign val="superscript"/>
        <sz val="12"/>
        <rFont val="Times New Roman"/>
        <family val="1"/>
      </rPr>
      <t>5</t>
    </r>
    <r>
      <rPr>
        <sz val="12"/>
        <rFont val="Times New Roman"/>
        <family val="1"/>
      </rPr>
      <t xml:space="preserve">  Leasehold improvements shall be amortized evenly over the remaining life of the lease term of the stated lease.  Each such leasehold improvements amortization period may not be extended beyond, or truncated prior to, the remaining life of the lease term of the stated lease absent a filing with FERC under section 205 or 206 of the Federal Power Act.</t>
    </r>
  </si>
  <si>
    <r>
      <t>6</t>
    </r>
    <r>
      <rPr>
        <sz val="12"/>
        <rFont val="Times New Roman"/>
        <family val="1"/>
      </rPr>
      <t xml:space="preserve">  Non-depreciable, no rate, with no life.</t>
    </r>
  </si>
  <si>
    <t>05984 7203280</t>
  </si>
  <si>
    <t>La Cygne Unit 2.  This involves a rewind of the generator stator.  This includes new stator windings and wedges.</t>
  </si>
  <si>
    <t>Replace the La Cygne 2 hot reheat (HRH) piping under the turbine.</t>
  </si>
  <si>
    <t>La Cygne Unit 1, replace secondary superheater (SSH) Intermediate Bank L1</t>
  </si>
  <si>
    <t>La Cygne Unit 1, rewind the generator stator and replace core iron by either restacking or purchasing a new stator.</t>
  </si>
  <si>
    <t>La Cygne Unit 1, replace secondary superheater (SSH) outlet Bank L1.</t>
  </si>
  <si>
    <t>La Cygne Unit 2 LP Turbine Bucket Replacement.  This is the replacement of (4) total rows of rotating blades on the LP turbines.  (2) rows on the (2) turbines.  This includes replacement of the L-1 wheel/dovetail area which holds the buckets in place on the rotor.</t>
  </si>
  <si>
    <t>JEC Unit 1.  For Mechanical Maintenance to TIG weld on the HP inner case.  It will be at the horizontal joint (both sides) at the large U-seal face.  This project will cover the disassembly, clean, inspect, repair (as needed), and re-assembly of the J1 Hp and lp turbines.  The re-rounding of the HP inner turbine casing, and the replacement of all 12 stationary blade rows.  The replacement and coating of the first stage of IP stationary blades will also be included in this project.</t>
  </si>
  <si>
    <t>08400 013944</t>
  </si>
  <si>
    <t>IDS IMPROVEMENTS TO SITE BUILDINGS</t>
  </si>
  <si>
    <t>08400 014254</t>
  </si>
  <si>
    <t>08400 014459</t>
  </si>
  <si>
    <t>08400 014461</t>
  </si>
  <si>
    <t>08400 014269</t>
  </si>
  <si>
    <t>MODIFICATION TO CLASS 1E AIR CONDITIONING</t>
  </si>
  <si>
    <t>FUKUSHIMA SHELTER 3 SYSTEM</t>
  </si>
  <si>
    <t>FUKUSHIMA SHELTER 1 SYSTEM</t>
  </si>
  <si>
    <t>08400 013321</t>
  </si>
  <si>
    <t>08400 014003</t>
  </si>
  <si>
    <t>08400 501209</t>
  </si>
  <si>
    <t>08400 013424</t>
  </si>
  <si>
    <t>GL 2004-02 CONTAINMENT DEBRIS REDUC</t>
  </si>
  <si>
    <t>CONTAINMENT AIR COOLER REPLACEMENT_x000D_</t>
  </si>
  <si>
    <t>ESW WATERHAMMER RESOLUTION SYSTEM</t>
  </si>
  <si>
    <t>FUKISHIMA EVENT EVALUATIONS, DESIGN.</t>
  </si>
  <si>
    <t>REPAIR AK ACID TANK SYSTEM</t>
  </si>
  <si>
    <t>WCNOC Auxiliary Building.  Repair AK Acid Tank System--AK Discipline--Mechanical.</t>
  </si>
  <si>
    <t xml:space="preserve">WCNOC Site Security Building.  IDS Improvements to site buildings system.  Discipline--Electrical. </t>
  </si>
  <si>
    <t xml:space="preserve">WCNOC Auxiliary Building.  Fukushima Shelter 1 System.  Discipline--Civil/Structural._x000D_
</t>
  </si>
  <si>
    <t xml:space="preserve">WCNOC Auxiliary Building.  Fukushima Shelter 3 System.  Discipline--Civil/Structural.
</t>
  </si>
  <si>
    <t>WCNOC Control Building.  Modification to Class 1E air conditioning system.  Discipline--Mechanical.</t>
  </si>
  <si>
    <t>WCNOC Reactor Building.  Containment debris reduction system.  Discipline--Mechanical.</t>
  </si>
  <si>
    <t>WCNOC Reactor Building.  Containment air cooler replacement system.  Discipline--Mechanical.</t>
  </si>
  <si>
    <t>WCNOC Fukishima event evaluations, design changes and modifications.</t>
  </si>
  <si>
    <t>WCNOC Turbine Building.  ESW Waterhammer resolution system.  Discipline--Mechanical.</t>
  </si>
  <si>
    <t>L000982201</t>
  </si>
  <si>
    <t>L000022501</t>
  </si>
  <si>
    <t>L4 CW Piping Replacement</t>
  </si>
  <si>
    <t>L4 CW Piping Replacement Project.</t>
  </si>
  <si>
    <t>Gypsum Pond Construction</t>
  </si>
  <si>
    <t>J00616401</t>
  </si>
  <si>
    <t>J3 MillPro System</t>
  </si>
  <si>
    <t>J00616801</t>
  </si>
  <si>
    <t>Unit 3 24" Coal Pipe Replacement</t>
  </si>
  <si>
    <t>J00622001</t>
  </si>
  <si>
    <t>J2 LP Turbine Upgrade.</t>
  </si>
  <si>
    <t>J00627402</t>
  </si>
  <si>
    <t>J3 Rotary Air Heater Sootblower Replacement</t>
  </si>
  <si>
    <t>05701 J000830601</t>
  </si>
  <si>
    <t>JEC Office Remodel - Phase 1</t>
  </si>
  <si>
    <t>JEC Office Remodel and Auditorium construction.</t>
  </si>
  <si>
    <t>J00712401</t>
  </si>
  <si>
    <t>JCOM Coal Handling Controls Upgrade</t>
  </si>
  <si>
    <t>J01030101</t>
  </si>
  <si>
    <t>Project #010301.  JCom Coal Pile Dust Suppression.</t>
  </si>
  <si>
    <t>J01048001</t>
  </si>
  <si>
    <t>JCom Bottom Ash Pond</t>
  </si>
  <si>
    <t>J01089301</t>
  </si>
  <si>
    <t>JCom Coal Pile Dust Suppression.  This project will include a new booster pumping station feeding from Unit 3 Bottom Ash Tank that leads to a valve vault for future coal yard water supplies.  From the new Valve Vault a line will be used.</t>
  </si>
  <si>
    <t>J2 LP Turbine Upgrade</t>
  </si>
  <si>
    <t>J2 LP Turbine Upgrade; scheduled for Fall 2016.  Replacing both LP rotors, inner-inner casings, stationary blades, etc.</t>
  </si>
  <si>
    <t>05984 7081500</t>
  </si>
  <si>
    <t>Replace Microwave Tower at LaCygne</t>
  </si>
  <si>
    <t>Replace Microwave Tower at LaCygne.</t>
  </si>
  <si>
    <t>05984 10000364</t>
  </si>
  <si>
    <t>New Electric Startup BFP</t>
  </si>
  <si>
    <t>New Electric Startup BFP.</t>
  </si>
  <si>
    <t>Gypsum Pond Construction.  This work order is for the installation of a liner in the 301 and 302 Gypsum Ponds.  LCOM Coal Combustion Residual (CCR) Settling Tank Construction.</t>
  </si>
  <si>
    <t>JCom Bottom Ash Pond Capital Improvements.  Dewater, close and cap the bottom ash pond per the Coal Combusion Residual (CCR) regulation.</t>
  </si>
  <si>
    <t>JCOM Coal Handling Controls Upgrade.  Remove all existing Modicon Quantum &amp; 984 controls and I/O in the coal yard (yard belts, dust collectors, stackers &amp; dumpers).  Remove the existing XWIN interface between the coal yard PLC controls and cascade belt controls (NERC CIP mandated).  Install new Allen Bradley controls and I/O for all of these areas.  Install new interface system between coal yard PLC controls and cascade belt controls that meets NERC CIP requirements.</t>
  </si>
  <si>
    <t>J2 LP Turbine Upgrade.  Replacing both LP rotors, inner-inner casings, stationery blades, etc.  The purpose of this project is to increase turbine cycle efficiency by installing upgraded low pressure section turbine rotors and casings.</t>
  </si>
  <si>
    <t>J3 MillPro System Installation.  The MillPro system uses mill outlet temperature management, combustible dust encapsulation, dust suppression, and fire suppression to reduce and potentially eliminate the potential for coal mill fires and explosions.  The installation will consist of 19 nozzle assemblies, a thermocouple in the classifier section, an equipment skid and associated wiring and hoses per mill (7).</t>
  </si>
  <si>
    <t xml:space="preserve">Unit 3 24" Coal Pipe Replacement.  This project will consist of replacing all of the 24" coal pipe on Unit 3, from top of pulverizer to bottom of riffle to burner.  A-53 grade B steel, 24" OD, 3/8" thick.  </t>
  </si>
  <si>
    <t>J3 LP Turbine Upgrade; Replacing both LP rotors, inner-inner casings, stationary blades, etc.  This project will increase turbine cycle efficiency by installing upgraded LP turbine rotors and casings.</t>
  </si>
  <si>
    <t>J3 LP Turbine Upgrade</t>
  </si>
  <si>
    <t xml:space="preserve">J3 Rotary Air Heater Sootblower Replacement (multi-year).  Replacing the Rotary Air Heater baskets on Air Heaters 301 and 302.  This will also include replacing the seals and retracts.  </t>
  </si>
  <si>
    <t>3121 Unit #2 Lacygne Lease</t>
  </si>
  <si>
    <t>Reset In Service Date</t>
  </si>
  <si>
    <t>Software &amp; Software Reliance purchases in 2015</t>
  </si>
  <si>
    <t>New Corp Comm Web Page</t>
  </si>
  <si>
    <t>Purchase Lic &amp; Implementation of Version One Software ALM tool</t>
  </si>
  <si>
    <t>OMS Phase II - systems upgrades by Intergraph, contract labor &amp; internal labor to implement new functionality</t>
  </si>
  <si>
    <t>2014 TOA Suite of software including customization &amp; implementation services.  Software to be used by Transmission to track Outage &amp; Work Req. processing, scheduling, tracking, &amp; reporting.</t>
  </si>
  <si>
    <t>2014 SOW for UST Global to compelte branding of the Kony Utility App (35 screens)</t>
  </si>
  <si>
    <t>Capitalization of Outage Texting programming labor for customization/implementation</t>
  </si>
  <si>
    <t>AMI Information Mgmt Plan-I - Purchase of IBM Stampede services with T&amp;E</t>
  </si>
  <si>
    <t>Implementation of Budget data reporting in OBIEE - PWC Contract &amp; Change order dated 1/1/2014</t>
  </si>
  <si>
    <t>Upgrade PowerPlan software to version 10.4</t>
  </si>
  <si>
    <t>GRC Upgrade work - SOW with PWC to perform services</t>
  </si>
  <si>
    <t>Purchase Enterprise Edition (Unlimited Users, &amp; Metric) for Financial Analytics, Supply Chain &amp; order Mgt Analytics, &amp; Procure &amp; Spend Analytics</t>
  </si>
  <si>
    <t>PSoft 9.2 upgrade for Financial system</t>
  </si>
  <si>
    <t>Purchase Licenses for PSoft Finance/Supply Chain</t>
  </si>
  <si>
    <t>Implementation &amp; Customization efforts to support MS Office 365 to Westar Energy Enterprise Architecture</t>
  </si>
  <si>
    <t>Capital classed design/dev work to customize &amp; implement Cloud use with all Westar Systems.  This will be Phase III of work.</t>
  </si>
  <si>
    <t>Purchase of WinMagic software</t>
  </si>
  <si>
    <t>HRMS -Human Resources Analytics OBIEE Lic purch from ORACLE</t>
  </si>
  <si>
    <t>SPP Phase II - SPP Integrated Marketplace configuration and customization by MCG Energy Solutions in partnership with Westar Energy staff.</t>
  </si>
  <si>
    <t>1069:001000 GL Accounting Software (PS &amp; PP)</t>
  </si>
  <si>
    <t>XenDesktop project for GENCO all to be centrally loated at SFAnnex</t>
  </si>
  <si>
    <t>Purchase of software lic &amp; subscriptions to run on Hardware purchased under Proj 002704 JT=6967A93571</t>
  </si>
  <si>
    <t>Purchase lic &amp; software for implementation of API Gateway (Oracle &amp; Pathmaker)</t>
  </si>
  <si>
    <t>Pathmaker Consulting on 24 Hour Termination</t>
  </si>
  <si>
    <t>2013 Upgrade of IT EMS/SCADA group EMS software to V9</t>
  </si>
  <si>
    <t>Siemens NA Enhancements - Implementation to be made in 4 stages</t>
  </si>
  <si>
    <t>Clsd Loop Combstn Optizmn SW</t>
  </si>
  <si>
    <t>Beacon Software TSM</t>
  </si>
  <si>
    <t>Software for network single sign-on</t>
  </si>
  <si>
    <t>Book accrual for the excess of the amounts collected from customers for post-retirement medical and LTD expense according to GAAP</t>
  </si>
  <si>
    <t>R/A Catalyst Costs</t>
  </si>
  <si>
    <t>Includes the deferred costs for Catalysts to be amortized of a period in excess of 12 months,</t>
  </si>
  <si>
    <t>Deferred Costs of Prepaid Program</t>
  </si>
  <si>
    <t>R/A Analog Metr Unrecovered</t>
  </si>
  <si>
    <t>R/A Grid Security Tracker</t>
  </si>
  <si>
    <t>Includes deferred costs associated with our prepay program and the offsetting revenue that is billed to our customers who are enrolled in the prepay program.</t>
  </si>
  <si>
    <t>Includeds unrecovered investment in abandoned analog meters.</t>
  </si>
  <si>
    <t>Includes costs eligible for the Critical Infastructure Protection/ CyberSecurity Trackers.</t>
  </si>
  <si>
    <t>L011305601</t>
  </si>
  <si>
    <t>BI#: 0113056 - LEC #3 Activated Carbon Injection.  For engineering, equipment procurement and installation.</t>
  </si>
  <si>
    <t xml:space="preserve">BI#: 0113056 - LEC #3 Activated Carbon </t>
  </si>
  <si>
    <t>Based on 2016 Data</t>
  </si>
  <si>
    <r>
      <t xml:space="preserve">     </t>
    </r>
    <r>
      <rPr>
        <u/>
        <sz val="12"/>
        <rFont val="Times New Roman"/>
        <family val="1"/>
      </rPr>
      <t>Note</t>
    </r>
    <r>
      <rPr>
        <sz val="12"/>
        <rFont val="Times New Roman"/>
        <family val="1"/>
      </rPr>
      <t>:  The above amount is the Account 524 amount effective in 2016.</t>
    </r>
  </si>
  <si>
    <r>
      <t xml:space="preserve">       Return on Equity  =  </t>
    </r>
    <r>
      <rPr>
        <b/>
        <sz val="12"/>
        <rFont val="Times New Roman"/>
        <family val="1"/>
      </rPr>
      <t xml:space="preserve">9.70%.  </t>
    </r>
    <r>
      <rPr>
        <sz val="12"/>
        <rFont val="Times New Roman"/>
        <family val="1"/>
      </rPr>
      <t xml:space="preserve"> This value shall remain fixed until changes are accepted by FERC </t>
    </r>
  </si>
  <si>
    <t xml:space="preserve">         Plus: Wolf Creek Decom. Exp. (YE 2016) [Wk. L]*</t>
  </si>
  <si>
    <t>3121 Common Lacygne Lease</t>
  </si>
  <si>
    <t>Purch 3D Internet Training Soft</t>
  </si>
  <si>
    <t>Purchase Plant Simulator Training E</t>
  </si>
  <si>
    <t>Software for implementing milestone</t>
  </si>
  <si>
    <t>Paisley GRC software purch</t>
  </si>
  <si>
    <t>IDM &amp; AM for TOA</t>
  </si>
  <si>
    <t>OMSV9.3 Implementation</t>
  </si>
  <si>
    <t>2015-CrewCallOUT-Repl</t>
  </si>
  <si>
    <t>C3 Revenue Protection</t>
  </si>
  <si>
    <t xml:space="preserve">Corp Website Ph II </t>
  </si>
  <si>
    <t>2015 FISERV Implement/Integrate</t>
  </si>
  <si>
    <t>Mobile App Phase II</t>
  </si>
  <si>
    <t xml:space="preserve">IVR Project - Interactions </t>
  </si>
  <si>
    <t>Ph I-PwrPln Tax Repairs</t>
  </si>
  <si>
    <t xml:space="preserve">OBIEE-Analytics Fusion </t>
  </si>
  <si>
    <t>PSoft 9.2 AP &amp; Sec enhance</t>
  </si>
  <si>
    <t>PP Tax Repairs purch&amp;implement</t>
  </si>
  <si>
    <t>IAM Integration</t>
  </si>
  <si>
    <t>Implement Oracle TCG and CCG</t>
  </si>
  <si>
    <t>ProForma Receipt Functionality</t>
  </si>
  <si>
    <t>SVCNOW - Phase III</t>
  </si>
  <si>
    <t>Maryville SOW - Oct 2015</t>
  </si>
  <si>
    <t>Change Management Deployment</t>
  </si>
  <si>
    <t>PeopleSoft HR Tools Upgrade 2016</t>
  </si>
  <si>
    <t>Install WinMagic</t>
  </si>
  <si>
    <t>NetworkAccessControl</t>
  </si>
  <si>
    <t>2015 BC Sungard Software</t>
  </si>
  <si>
    <t>24 Hour Termination</t>
  </si>
  <si>
    <t>2015 Process Transformation</t>
  </si>
  <si>
    <t>EnterpriseDataWarehouse</t>
  </si>
  <si>
    <t>Oracle SOA lic-OSBHighAvail</t>
  </si>
  <si>
    <t>Devonway Software-Provide software applications to support observations and self assesments.</t>
  </si>
  <si>
    <t>2011 Vmware lic purchases for EMS system</t>
  </si>
  <si>
    <t>2011 Content Mgr for GENCO</t>
  </si>
  <si>
    <t>2015 EMS Software</t>
  </si>
  <si>
    <t>2015 EMS Enhancements</t>
  </si>
  <si>
    <t>2015 Next Gen CCntr-Software</t>
  </si>
  <si>
    <t>J01090501</t>
  </si>
  <si>
    <t>J01081801</t>
  </si>
  <si>
    <t>R01144001</t>
  </si>
  <si>
    <t>R01328002</t>
  </si>
  <si>
    <t>Project #010905 J1 RAH Basket, Seal</t>
  </si>
  <si>
    <t xml:space="preserve">Project 010818.  J2 MillPro System </t>
  </si>
  <si>
    <t xml:space="preserve">Western Plains Wind Farm (Ironwood </t>
  </si>
  <si>
    <t>05984 10000778</t>
  </si>
  <si>
    <t>05984 10001304</t>
  </si>
  <si>
    <t>Add Chiller Bldg &amp; HVAC Chiller</t>
  </si>
  <si>
    <t>Cost of Rem for Chimney</t>
  </si>
  <si>
    <t>Unit 2 Cost of Rem for Chimney</t>
  </si>
  <si>
    <t>FRW - Gearbox replacement on turbine</t>
  </si>
  <si>
    <t>J1 RAH Basket, Seal, Sector Plate, and Soot Blower Replacement.  Replacing the Rotary Air Heater Baskets on 101 and 102 Rotary Air heaters.  This will also include the replacement of the seals and retracts for the Rotary Air heaters.  The cold end baskets will be coated in enamel to prevent corrosion, which occurs from a low ACET (average cold end temperature), as well as the use of CaBr in the ACI system.</t>
  </si>
  <si>
    <t xml:space="preserve">Construction of the Western Plains Wind site.  This project includes everything required to construct the wind site, including but not limited to: land easements and land acquisition, engineering to design the wind farm, engineering required to specify equipment, procurement of the wind turbines and auxiliary equipment, all necessary permitting, the balance of plant construction, and the plant commissioning.  </t>
  </si>
  <si>
    <t xml:space="preserve">Install a complete MillPro System on Unit 2 Coal Mills. The purpose of this project is to install a MillPro pilot system on 307 coal mill.  The MillPro system uses mill outlet temperature management, combustible dust encapsulation, dust suppression, and fire suppression to reduce and potentially eliminate the potential for coal mill fires and explosions.  This pilot installation will consist of 19 nozzle assemblies, a thermocouple in the classifier section, an equipment skid and associated wiring and hoses. Installation will be completed by MillPro. </t>
  </si>
  <si>
    <t>FRW - Gearbox replacement on turbine D03.  Send the failed gearbox from turbine D03 to Clipper to be completely torn down, inspected, and refurbished with all new bearings, gears, seals, high speeds, etc.</t>
  </si>
  <si>
    <t>ServiceNow TS transformation</t>
  </si>
  <si>
    <t>SOA Service Enhancements</t>
  </si>
  <si>
    <t xml:space="preserve">OPTIMA III-EAM </t>
  </si>
  <si>
    <t>IAM for Maximo</t>
  </si>
  <si>
    <t>Windows 10 licenses for EAM</t>
  </si>
  <si>
    <t xml:space="preserve">2014Revised DocComp,EXStream </t>
  </si>
  <si>
    <t>EmeterMDM Services</t>
  </si>
  <si>
    <t>Web-Mobile SMS Enhancements</t>
  </si>
  <si>
    <t>Community Solar Implementation</t>
  </si>
  <si>
    <t>Finalist and Mailstream Licenses</t>
  </si>
  <si>
    <t>Exstream Upgrade</t>
  </si>
  <si>
    <t>RESONE Software Licenses</t>
  </si>
  <si>
    <t>Citrix License Upgrades</t>
  </si>
  <si>
    <t>EntContentMgmt=Phase I</t>
  </si>
  <si>
    <t>ECM Phase II</t>
  </si>
  <si>
    <t>Filenet Enhancements</t>
  </si>
  <si>
    <t>V5000 Software</t>
  </si>
  <si>
    <t>Expand Voice system Software NORTH</t>
  </si>
  <si>
    <t>TriplePoint Version 8 Upgrade</t>
  </si>
  <si>
    <t>Role Based Security from Pathmaker</t>
  </si>
  <si>
    <t>VersionOne - Transformation</t>
  </si>
  <si>
    <t>2016 Enterprise Data Warehouse</t>
  </si>
  <si>
    <t>2016EMS Compliance Enhancement</t>
  </si>
  <si>
    <t>2016EMS Reliability Enhance SFTWR</t>
  </si>
  <si>
    <t>LACYGNE NERC CIP CYBER SEC SW</t>
  </si>
  <si>
    <t>Expand Voice system Software SOUTH</t>
  </si>
  <si>
    <t>SITE COMMUNICATION UPGRADE</t>
  </si>
  <si>
    <t>OVATION 3.2 CYBER HARDENING</t>
  </si>
  <si>
    <t>Purchase Operator Surveillance Soft</t>
  </si>
  <si>
    <t>Visual Survey Data System (VSDS) So</t>
  </si>
  <si>
    <t>L01584 - Atchison</t>
  </si>
  <si>
    <t>L01627- 719 Kansas</t>
  </si>
  <si>
    <t>Accrued Vacation Payable</t>
  </si>
  <si>
    <t>FAS 109</t>
  </si>
  <si>
    <t>Excluded FAS 109</t>
  </si>
  <si>
    <t>Account 283 Excess Deferred Taxes</t>
  </si>
  <si>
    <t>Book accrual of LaCygne dismantling Costs versus actual costs for tax.</t>
  </si>
  <si>
    <t>J01412501</t>
  </si>
  <si>
    <t>JCOM Controls Upgrade (Multi-Year)</t>
  </si>
  <si>
    <t>H19113101</t>
  </si>
  <si>
    <t>05984 10002197</t>
  </si>
  <si>
    <t>05984 10001705</t>
  </si>
  <si>
    <t>05984 10001867</t>
  </si>
  <si>
    <t>05984 10002361</t>
  </si>
  <si>
    <t>05984 10001725</t>
  </si>
  <si>
    <t>05984 10001303</t>
  </si>
  <si>
    <t>05984 10001954</t>
  </si>
  <si>
    <t>cancelled 07/06/2015</t>
  </si>
  <si>
    <t>Cancelled 02/01/2010</t>
  </si>
  <si>
    <t>08400 014966</t>
  </si>
  <si>
    <t>08400 013324</t>
  </si>
  <si>
    <t>08400 014389</t>
  </si>
  <si>
    <t>08400 014863</t>
  </si>
  <si>
    <t>08400 501423</t>
  </si>
  <si>
    <t>08400 015044</t>
  </si>
  <si>
    <t>08400 014504</t>
  </si>
  <si>
    <t>08400 013924</t>
  </si>
  <si>
    <t>08400 013979</t>
  </si>
  <si>
    <t>ESW PROTECTED AREA AND INFRASTRUCTURE</t>
  </si>
  <si>
    <t>CONTAINMENT AIR COOLER REPLACEMENT</t>
  </si>
  <si>
    <t>LICENSE RENEWAL UPDATE CAPITAL</t>
  </si>
  <si>
    <t>SPENT FUEL POOL BRIDGE CRANE (HKE04</t>
  </si>
  <si>
    <t>GROUND WATER EVALUATION AND DEWATER</t>
  </si>
  <si>
    <t>MODIFICATION TO ACCESS CONTROL</t>
  </si>
  <si>
    <t>LACYGNE COMMON - G08011</t>
  </si>
  <si>
    <t>LACYGNE LEASE UNIT #2 VINTAGE YEAR DEPR - G08003</t>
  </si>
  <si>
    <t>LACYGNE #1 - G08001</t>
  </si>
  <si>
    <t>08400 014998</t>
  </si>
  <si>
    <t xml:space="preserve">Engineering Study-Replace 7KV Relays </t>
  </si>
  <si>
    <t>Engineering Study-Replace Pulveriz Classifier</t>
  </si>
  <si>
    <t>Replace L2 HP/IP Turbine Seals</t>
  </si>
  <si>
    <t>Replace 1M Gall Fuel Oil Tank w/2 tanks</t>
  </si>
  <si>
    <t>FASB 109</t>
  </si>
  <si>
    <t>HEC GT Common - Project Number: 191131, Project Tilte:  HCOM CT Control building</t>
  </si>
  <si>
    <t>HCOM CT Control building.  The project is for the installation of a new administration and control building.  Also included is site improvement and relocation of the controls to support the GTs.</t>
  </si>
  <si>
    <t>RF22 SWYD MODS - STARTUP TRANSFORMER</t>
  </si>
  <si>
    <t xml:space="preserve">FEEDWATER CONTROL REPLACEMENT SYSTEM
</t>
  </si>
  <si>
    <t>SECURITY COMPUTER SYSTEM CYBER SECURITY</t>
  </si>
  <si>
    <t>INDEPENDENT SPENT FUEL STORAGE INSTALLATION</t>
  </si>
  <si>
    <t>Site Security Building - WC034.  Security Computer System Cyber Security Modification-NEI 08-09.  System---SK Discipline- Instrumentation_x000D_</t>
  </si>
  <si>
    <t>Control Building - WC003. Feedwater Control Replacement;         System---SB  Discipline---Electrical</t>
  </si>
  <si>
    <t>Start-up Transformer Structure - WC039.  RF22 SWYD MODS - Startup transformer connection. System---SY  Discipline---Electrical</t>
  </si>
  <si>
    <t>ESW Pumphouse &amp; Chlorine Building - WC011.  ESW Protected Area and Infrastructure.  System---CQ  Discipline---Civil/Structural</t>
  </si>
  <si>
    <t>Reactor Building - WC002.  Containment Air Cooler Replacement - SGN01A &amp; SGN01C.  System---GN  _x000D_Discipline--Mechanical</t>
  </si>
  <si>
    <t>Site Work - WC008.  License renewal update capital</t>
  </si>
  <si>
    <t>Fuel Building - WC006.  Spent Fuel Pool Bridge Crane (HKE04) Modification for the Dry Cask Storage Project.  System---KE_x000D_ Discipline---Civil/Structural_x000D_</t>
  </si>
  <si>
    <t>Site Work - WC008.  Ground Water Evaluation and Dewatering wells
System---XX_x000D_  Discipline---Civil/Structural_x000D_</t>
  </si>
  <si>
    <t>Radwaste Building - WC007.  Independent Spent Fuel Storage Installation (ISFSI).  _x000D_System---H G_x000D_ Discipline---Civil/Structural_x000D_</t>
  </si>
  <si>
    <t>Control Building - WC003.  Modification to Access Control_x000D_
System--  Discipline---Civil/Structural</t>
  </si>
  <si>
    <t>Engineering Study-Entrance Control Facility</t>
  </si>
  <si>
    <t>JEC #3 - G02503.  J3 LP TURBINE UPGRADE.</t>
  </si>
  <si>
    <t>Unit 2 Cost of Removal for Stacks</t>
  </si>
  <si>
    <t>Replace Gas Tempering/GasRecirculating Duct</t>
  </si>
  <si>
    <t>HEC - CT Common</t>
  </si>
  <si>
    <r>
      <t>1</t>
    </r>
    <r>
      <rPr>
        <sz val="12"/>
        <rFont val="Times New Roman"/>
        <family val="1"/>
      </rPr>
      <t xml:space="preserve"> All rates from 2018 Form 1, pages 337 through 337.9, columns a and e.  Collection of depreciation will end when the associated investment is retired; amortization amounts shall cease once the amount</t>
    </r>
  </si>
  <si>
    <t>Based on 2018 Data</t>
  </si>
  <si>
    <t xml:space="preserve">  dated January 2018, prepared by Towers Watson.</t>
  </si>
  <si>
    <t xml:space="preserve">  dated January 2018, prepared by Towers Watson and the LTD expense from the report referenced in footnote 1 above, page 1, </t>
  </si>
  <si>
    <t>Based on 2017 Data</t>
  </si>
  <si>
    <t>2017 PBOPs [Wk. T]*</t>
  </si>
  <si>
    <t>H19176901</t>
  </si>
  <si>
    <t>J00608001</t>
  </si>
  <si>
    <t>J01412801</t>
  </si>
  <si>
    <t>J19164801</t>
  </si>
  <si>
    <t>J19182801</t>
  </si>
  <si>
    <t>J19228401</t>
  </si>
  <si>
    <t>R19185601</t>
  </si>
  <si>
    <t>Project #191648. All work on this WO will be completed in 2018. This work will design and construct a new Flue Gas Desulfurization (FGD) landfill cell at the Westar Energy Jeffrey Energy Center. This work will be done in accordance with CCR rules and regulations.</t>
  </si>
  <si>
    <t>Project #191828 Unit 2 24  Coal Pipe Replacement.  This project will consist of replacing all of the 24  coal pipe on Unit 2.  This will be from the mills to the bottom of the riffle box.  To occur during J2 Spring 2019 Outage.</t>
  </si>
  <si>
    <t>Project #192284.  JCOM Control and Service Air Compressor Addition (Holding Acct).  This project is to perform research work related to the possible addition of a compressor system for the control and service air requirements of JEC.</t>
  </si>
  <si>
    <t>HEC GT #2 - G05522 Major overhaul</t>
  </si>
  <si>
    <t>JEC #3 - G02503 307 feed water heater retube</t>
  </si>
  <si>
    <t>JEC Common - G02511 - Project #191648</t>
  </si>
  <si>
    <t>JEC Common - G02511 - Project #192284</t>
  </si>
  <si>
    <t>Flat Ridge Wind Farm - G05102 - Project #191856</t>
  </si>
  <si>
    <t>JEC #2 - G02502 Controls Upgrade</t>
  </si>
  <si>
    <t>JEC #2 - G02502 - Project #191828</t>
  </si>
  <si>
    <t>10100</t>
  </si>
  <si>
    <t>05984 10002398</t>
  </si>
  <si>
    <t>05984 10002652</t>
  </si>
  <si>
    <t>05984 10002812</t>
  </si>
  <si>
    <t>JEC #2 - G02502</t>
  </si>
  <si>
    <t>JEC Common - G02511</t>
  </si>
  <si>
    <t>08400 015226</t>
  </si>
  <si>
    <t>08400 020021</t>
  </si>
  <si>
    <t>08400 501532</t>
  </si>
  <si>
    <t>WATER JET PEENING OF REACTOR VESSEL</t>
  </si>
  <si>
    <t>ESF XNB01 TRANSFORMER REPLACEMENT</t>
  </si>
  <si>
    <t>Risk Informed Tech Specs (RITS) &amp; P</t>
  </si>
  <si>
    <t>08400 501555</t>
  </si>
  <si>
    <t xml:space="preserve">ISFSI Security Mods_x000D_
</t>
  </si>
  <si>
    <t>Power Advocate Analytical Software</t>
  </si>
  <si>
    <t>Notes to Share Point Development</t>
  </si>
  <si>
    <t>Contract Replacement</t>
  </si>
  <si>
    <t>SharePoint 18.1 Work</t>
  </si>
  <si>
    <t>Sharept 18.2 thru 18.4 Work</t>
  </si>
  <si>
    <t>SWIFT</t>
  </si>
  <si>
    <t>Day One Intranet (BA Insights)</t>
  </si>
  <si>
    <t>OMS/MWMS Enhancements</t>
  </si>
  <si>
    <t>Data Historian</t>
  </si>
  <si>
    <t>Maximo Spacial Upgrade</t>
  </si>
  <si>
    <t>TOA Enhancements</t>
  </si>
  <si>
    <t>GIS Enhancements PI 18.1 thru 18.3</t>
  </si>
  <si>
    <t>TOASTREAM 18.1 to 18.3</t>
  </si>
  <si>
    <t>EAM Maximo PI 18.2 and 18.3</t>
  </si>
  <si>
    <t>2017 Web-Mobile-SMS Enhancements</t>
  </si>
  <si>
    <t>Outage IVR Replacement</t>
  </si>
  <si>
    <t>MDM Enhancements 2018</t>
  </si>
  <si>
    <t>Mobile Application PI 18.1/18.2</t>
  </si>
  <si>
    <t>Mobile Web Flow PI 18.1,18.2,18.3</t>
  </si>
  <si>
    <t>Mobile App 18.3 and 18.4</t>
  </si>
  <si>
    <t xml:space="preserve">ECM - Phase III </t>
  </si>
  <si>
    <t>Hyperion Upgrade Software</t>
  </si>
  <si>
    <t>PeopleSoft FSCM Upgrade to 24</t>
  </si>
  <si>
    <t>PowerPlan Pension Capitalization</t>
  </si>
  <si>
    <t>PowerPlan 2016.1 Upgrade</t>
  </si>
  <si>
    <t>Dev &amp; testing work in PS, WAM &amp; SOA</t>
  </si>
  <si>
    <t>Additional Oracle Analytic Licenses</t>
  </si>
  <si>
    <t>IT HR Maintenance Capital</t>
  </si>
  <si>
    <t>Veeam Backup &amp; Replication</t>
  </si>
  <si>
    <t>IBM Settlement Agreement</t>
  </si>
  <si>
    <t>EMA Customer Portal</t>
  </si>
  <si>
    <t>SPP Integration Moderization</t>
  </si>
  <si>
    <t>EMA Customer Portal Enrichment</t>
  </si>
  <si>
    <t>Automation of Manual Processes</t>
  </si>
  <si>
    <t>Gen PI Infrastructure Expn Software</t>
  </si>
  <si>
    <t>LEC SAN Software</t>
  </si>
  <si>
    <t>PKI Architecture</t>
  </si>
  <si>
    <t>Identity Governance</t>
  </si>
  <si>
    <t>Reliability Data Analytics</t>
  </si>
  <si>
    <t>2017 EDW Charges</t>
  </si>
  <si>
    <t>EDW PI 18.1 Work</t>
  </si>
  <si>
    <t>EDW PI 18.2 Work</t>
  </si>
  <si>
    <t>OBIA License &amp; SQL server licenses</t>
  </si>
  <si>
    <t>Augmented Reality Pilot Project</t>
  </si>
  <si>
    <t>SOA PeopleSoft Sync Integration</t>
  </si>
  <si>
    <t>SOA Chartfield Validations</t>
  </si>
  <si>
    <t>MV90 Upgrade Software - North</t>
  </si>
  <si>
    <t>Renewable Dashboard</t>
  </si>
  <si>
    <t>2017 Allied to Cisco Intangibles</t>
  </si>
  <si>
    <t>EnForce Risk Manager Software - Acq</t>
  </si>
  <si>
    <t>Access Screening Software Upgrade (</t>
  </si>
  <si>
    <t>2017 EMS Compliance Enhancements</t>
  </si>
  <si>
    <t>Upgr Combust Optimizer</t>
  </si>
  <si>
    <t>Young Road Relocation</t>
  </si>
  <si>
    <t>SECURITY SYSTEM CHANGES</t>
  </si>
  <si>
    <t>SECURITY COMPUTER SYSTEM CYBER SECU</t>
  </si>
  <si>
    <t>Simulator Computer Upgrade</t>
  </si>
  <si>
    <t>electronic document management</t>
  </si>
  <si>
    <t>Revenue Deferrals</t>
  </si>
  <si>
    <t>Deferred taxes on Deferred Revenue related to Merger and TCJA retail credits</t>
  </si>
  <si>
    <t>Transition Costs</t>
  </si>
  <si>
    <t>Deferred tax on R/A associated with Transition Costs</t>
  </si>
  <si>
    <t>Deferred taxes on Deferred Revenue related to Merger and TCJA retail credits.</t>
  </si>
  <si>
    <t>Risk Informed Tech Specs (RITS) &amp; PRA Upgrade</t>
  </si>
  <si>
    <t>Water Jet Peening of Reactor Vessel Head Penetrations System
Discipline---Mechanical</t>
  </si>
  <si>
    <t>ESF XNB01 Transformer Replacement System                                    Discipline---Electrical</t>
  </si>
  <si>
    <t>LACYGNE #2 - G08002</t>
  </si>
  <si>
    <t xml:space="preserve">Independent Spent Fuel Storage Installation (ISFSI) Security Mods
</t>
  </si>
  <si>
    <t>Net Current - Year Capacity Revenue Requirement.</t>
  </si>
  <si>
    <t xml:space="preserve">Replace LaCygne Unit 1 High Pressure Turbine Packing Replacement, Unit 1, Turbine Deck South, Maintenance </t>
  </si>
  <si>
    <t>Engineer Study LaCygne Unit 2 Secondary Superheat Outlet Bank Replacement - Unit 2 Secondary Superheat Tubes, Inside Boiler, Maintenance</t>
  </si>
  <si>
    <t>LaCygne HVAC Replacement (Phase 2), Unit 1 Auxiliaries Cost Center, Maintenance</t>
  </si>
  <si>
    <t>SECONDARY SIDE UPRATE - INCREASE THE OUTPUT.  TURBINE ROTOR REPLACMENT - SECONDARY</t>
  </si>
  <si>
    <t>WCNOC Turbine Building - Secondary side uprate.  Increase the output of the unit by installing more efficient components on the secondary side.  TURBINE ROTOR REPLACEMENT - SECONDARY POWER UPRATE SYSTEM - AC.</t>
  </si>
  <si>
    <r>
      <t>Term</t>
    </r>
    <r>
      <rPr>
        <vertAlign val="superscript"/>
        <sz val="12"/>
        <color indexed="8"/>
        <rFont val="Times New Roman"/>
        <family val="1"/>
      </rPr>
      <t>5</t>
    </r>
  </si>
  <si>
    <t>Hutchinson EC GT2 Major overhaul</t>
  </si>
  <si>
    <t>Flat Ridge Wind Farm - 2018 Project #191856 to replace the GBX's on B02, B08, D09 and the pitch bearings on B07 and B08. This work will require crane contractors, transportation services, GBX rebuilds, crane pad work, equipment rental, and turbine parts. Project estimate for this work is $2,479,631.27</t>
  </si>
  <si>
    <t>Jeffrey Energy Center Unit 3 307 Feed Water Heater Retube.  This project involves purchasing a new feedwater heater, removing existing &amp; installing new heater.</t>
  </si>
  <si>
    <t>Jeffrey Energy Center Unit 2 Controls Upgrade.  This project replaced all of the ABB Infi90 components with new Emerson Ovation components.</t>
  </si>
  <si>
    <t>Evergy Kansas Central, Inc.</t>
  </si>
  <si>
    <t>Evergy Kansas South, Inc.</t>
  </si>
  <si>
    <t>Throughout this formula rate template, "Evergy Kansas Central, Inc." identifies information combined for both Evergy Kansas Central, Inc. and Evergy Kansas South, Inc. (subsidiary of Evergy Kansas Central, Inc.).  The term "Evergy Kansas Central" or "EKC" identifies information specific to Evergy Kansas Central, Inc. and the term "Evergy Kansas South" or "EKS" identifies information specific to Evergy Kansas South, Inc.</t>
  </si>
  <si>
    <t>Costs Evergy incurs in arranging transmission, ancillary and wholesale  distribution services for Customer pursuant to Attachment C to the Agreement;</t>
  </si>
  <si>
    <t>The dollar cost of fossil and nuclear fuel estimated to be consumed during the Billing Month in plants owned by Evergy and its share of jointly owned or leased plants.  Nuclear fuel costs are those properly recorded as nuclear fuel in FERC Account 518.  Fossil fuel consumed costs shall include only those costs properly recorded as fossil fuel costs in FERC Account 151, except that fuel costs should be reduced by the amount of supplier refunds normally credited to FERC Account 501.  For natural gas or other fuels for which no inventory is maintained, the costs recorded in FERC Accounts 501 and 547 are includable as fossil fuel consumed.</t>
  </si>
  <si>
    <t>Should the Customer fall under the jurisdiction of NERC, Customer will also be responsible for any fees, fines or penalties or sanctions assessed Evergy due to Customer’s failure to comply with NERC standards.</t>
  </si>
  <si>
    <t>Net Interchange, which is the estimated cost of energy purchased to serve all customers’ load during the Billing Month, including transmission cost associated with those purchases, when such energy is purchased to substitute for Evergy’s higher cost energy.  The estimated cost shall include amounts paid to independent power producers’ generating plants not owned by Evergy, but that produce electric power and sell it to Evergy.  The estimated cost shall be less the estimated incremental cost of fuel and purchase power recovered through off-system sales, which includes the cost of fuel and purchase power associated with OSSM and other wholesale agreement(s) that allow incremental fuel cost recovery (determined in the same manner as that used for OSSM) or unit-specific fuel cost recovery.  For periods subsequent to the implementation of the SPP IM, the NI term shall include the costs of purchased energy when such energy is purchased to substitute for Evergy’s higher cost energy, to the limited extent that such purchases take place exclusive of the purchases from the SPP IM which are included in P above.</t>
  </si>
  <si>
    <t>Difference between the actual costs for the third month preceding the Billing Month and the estimated costs that Evergy used to calculate the Energy Charge for the third month preceding the Billing Month (“True-Up Amount Used for Current Billing Month”).  The True-Up Amount Used for Current Billing Month (C) is calculated as:</t>
  </si>
  <si>
    <t xml:space="preserve">Off-System Sales Margin shall be equal to total profits (total net margin) on off-system sales. For periods prior to the implementation of the SPP IM, OSSM is calculated as gross revenues received for off-system sales transactions (Wk. V), less the cost of production and transmission delivery costs.  The estimated production costs associated with the generation resource(s) utilized from the EKS/EKC generation portfolio shall be calculated by taking the incremental heat rate times the delivered cost of fuel, including any fuel handling, plus any applicable start-up charges, a small amount of energy-related variable operation and maintenance (O&amp;M) costs for each resource and any associated taxes, regulatory or environmental compliance costs.  For energy purchases, Evergy shall use the actual cost as specified in the applicable purchase contract.  Cost associated with items such as generation must-run provisions; maintenance energy; and renewable resources are excluded from serving off-system sales transactions.  Evergy will estimate the OSSM related production costs at the end of each month by using a computer model that utilizes the actual generation output values and purchase power cost to serve each off-system sale on an hour-by-hour basis by determining the least cost solution for the remaining sales and load. For periods subsequent to the implementation of the SPP IM, OSSM shall be determined in the aforementioned manner for all transactions not included in the SPP IM settlement process or otherwise not already included, on a net basis, in F, P or NI above. </t>
  </si>
  <si>
    <t>Any and all federal, state and local taxes and similar governmental charges incurred by Evergy (other than taxes imposed on the net income of Evergy), in connection with the generation and sale of the capacity and Firm Energy hereunder as detailed in the workpaper below.</t>
  </si>
  <si>
    <t>1.  For the On-Going Benefits Test, each month Evergy will calculate the expected delivered cost for coal (including transportation) under any canceled coal contract on a $/MMBtu basis (the “Contract Price”).  The Contract Price calculation will consist of the delivered cost of coal last reported under the canceled contract plus escalations as permitted under the canceled contract on a $/MMBtu basis.  In the event indices or other data necessary to calculate the cost of coal or transportation becomes unavailable, Evergy will use its best efforts to substitute equivalent data necessary to calculate the Contract Price.  The Contract Price will be compared to the sum of the monthly current cost of delivered coal (including transportation) and the Monthly Amortization (as provided below) of buyout costs on a $/MMBtu basis (the “Current Price”).  If the Current Price is less than the Contract Price then the Monthly Amortization will be included in the</t>
  </si>
  <si>
    <r>
      <t>2</t>
    </r>
    <r>
      <rPr>
        <sz val="12"/>
        <rFont val="Times New Roman"/>
        <family val="1"/>
      </rPr>
      <t xml:space="preserve"> Corrections of mistakes in Evergy's FERC Form No. 1 and specific data applied in the Formula Rate, and any resulting refunds or surcharges, shall be reflected in the Annual Update for the next effective Contract Year, with interest determined in accordance with 18 C.F.R. § 35.19a.  </t>
    </r>
    <r>
      <rPr>
        <i/>
        <sz val="12"/>
        <rFont val="Times New Roman"/>
        <family val="1"/>
      </rPr>
      <t xml:space="preserve">See </t>
    </r>
    <r>
      <rPr>
        <sz val="12"/>
        <rFont val="Times New Roman"/>
        <family val="1"/>
      </rPr>
      <t xml:space="preserve"> Worksheet J.  "Mistake" shall mean errors or omissions regarding the values inputted into the Formula Rate, such as, but not limited to, arithmetic and other inadvertent computational errors, erroneous Form 1 references or the like.  Mistakes shall not include matters involving exercise of judgment or substantive differences of opinion regarding the derivation of an input that is more properly the subject of the annual review process.  The Parties agree that corrections to erroneous FERC Form No. 1 references  in the Formula Rate Template may be made in the Annual Update without a Section 205 or 206 filing.  There is no deadline for either Customer or Evergy to notify each other of any mistake in any FERC Form No. 1 data or specific data applied in the Formula Rate.</t>
    </r>
  </si>
  <si>
    <t>The values for Accumulated Depreciation and Depreciation Expense shall be taken from the referenced Form 1 pages only as long as the rates included in column (e) on pages 337 through 337.9, by generating unit and account number, are equal to the values on Worksheet S.  If rates in column (e) of future Form 1 submittals differ from these rates, Evergy shall either recalculate its Accumulated Depreciation and Depreciation Expense (Wk. K) using the rates in Wk. S or seek to have the changed rates approved by the Commission through a Section 205 filing before implementing them in the formula rate.  All other parties seeking a change to the depreciation rates included in Wk. S must submit a  Section 206 filing with the Commission.</t>
  </si>
  <si>
    <t>EKC</t>
  </si>
  <si>
    <t>EKS</t>
  </si>
  <si>
    <t xml:space="preserve">   Prepayments [EKC + EKS]</t>
  </si>
  <si>
    <t xml:space="preserve">   Fuel Stock [EKC + EKS]</t>
  </si>
  <si>
    <t xml:space="preserve">   M &amp; S [EKC + EKS]</t>
  </si>
  <si>
    <t xml:space="preserve">   Stores [EKC + EKS]</t>
  </si>
  <si>
    <t xml:space="preserve">   EKC        </t>
  </si>
  <si>
    <t xml:space="preserve">   EKS        </t>
  </si>
  <si>
    <t xml:space="preserve">    Account 107 [Wks. A (EKC) &amp; B (EKS)]</t>
  </si>
  <si>
    <t xml:space="preserve">    Account 190 [Wks. A (EKC) &amp; B (EKS)]</t>
  </si>
  <si>
    <t xml:space="preserve">    Account 282 [Wks. A (EKC) &amp; B (EKS)]</t>
  </si>
  <si>
    <t xml:space="preserve">    Account 283 [Wks. A (EKC) &amp; B (EKS)]</t>
  </si>
  <si>
    <t xml:space="preserve">    Other Reserves [Wks. A (EKC) &amp; B (EKS)]</t>
  </si>
  <si>
    <t xml:space="preserve">    Intangible [Wks. O (EKC) &amp; P (EKS)]</t>
  </si>
  <si>
    <t>The values for Accumulated Depreciation and Depreciation Expense shall be taken from the referenced Form 1 pages only as long as the rates included in column (e) on pages 337 through 337.9, by generating unit and account number, are equal to the values on Wk. S.  If rates in column (e) of future Form 1 submittals differ from these rates, Evergy shall either recalculate its Accumulated Depreciation and Depreciation Expense (Wk. K) using the rates in Wk. S or seek to have the changed rates approved by the Commission through a Section 205 filing before implementing them in the formula rate.  All other parties seeking a change to the depreciation rates included in Wk. S must submit a  Section 206 filing with the Commission.</t>
  </si>
  <si>
    <t>EMS Replacement</t>
  </si>
  <si>
    <t xml:space="preserve">Development of plant site specific </t>
  </si>
  <si>
    <t>ePower Replacement</t>
  </si>
  <si>
    <t>SOA Upgrade 2017</t>
  </si>
  <si>
    <t>Share Point thru PI 19.1</t>
  </si>
  <si>
    <t>SharePoint PI 19.2 and 19.3</t>
  </si>
  <si>
    <t>OMS Stream PI 18.1 thru 18.5</t>
  </si>
  <si>
    <t>GIS Stream PI 18.4 and 18.5</t>
  </si>
  <si>
    <t>EAM Stream 18.4 and 18.5</t>
  </si>
  <si>
    <t>GIS Standard Update 19.1.1-19.1.4</t>
  </si>
  <si>
    <t>EAM Standard Update PI 19.1.1</t>
  </si>
  <si>
    <t>ESRI Schneider ELA SW Licenses</t>
  </si>
  <si>
    <t>CSS Data Conversion</t>
  </si>
  <si>
    <t>Meter Data Management Rate Case</t>
  </si>
  <si>
    <t>Network Transformation-Software</t>
  </si>
  <si>
    <t>Click Share Data Pulls North</t>
  </si>
  <si>
    <t>2018 QC Licenses and upgrade to ALM</t>
  </si>
  <si>
    <t>EDW PI 18.3 and 18.4</t>
  </si>
  <si>
    <t>FileNet Upgrade Project</t>
  </si>
  <si>
    <t>ARM Scheduler Upgrade</t>
  </si>
  <si>
    <t>Agent 511 PI 18.2 thru 18.4</t>
  </si>
  <si>
    <t xml:space="preserve">Clsd Loop Combstn SW - L2_x000D_
</t>
  </si>
  <si>
    <t>Upgr Contractor Timekeeping System</t>
  </si>
  <si>
    <t>Cyber security -CS /CDA Identificat</t>
  </si>
  <si>
    <t>Cyber security -CS tools team</t>
  </si>
  <si>
    <t>Cyber Security -readiness</t>
  </si>
  <si>
    <t>Cyber security -CDA assessment</t>
  </si>
  <si>
    <t>Replace LMS with SAP/Success Factor</t>
  </si>
  <si>
    <t>COMPLID SOFTWARE LICENSE PO#784399</t>
  </si>
  <si>
    <t>Ready2Work Software</t>
  </si>
  <si>
    <t>LTA Manager Software PO 783651</t>
  </si>
  <si>
    <t>IQReview Software PO 783651</t>
  </si>
  <si>
    <t>System IQ Software Purchase PO 7836</t>
  </si>
  <si>
    <t>Implement already purchased softwar</t>
  </si>
  <si>
    <t>H19274901</t>
  </si>
  <si>
    <t>J19230301</t>
  </si>
  <si>
    <t>J19154801</t>
  </si>
  <si>
    <t>J192599011</t>
  </si>
  <si>
    <t>J19306101</t>
  </si>
  <si>
    <t>L19287801</t>
  </si>
  <si>
    <t>H19334801</t>
  </si>
  <si>
    <t>Diesel Tank Install</t>
  </si>
  <si>
    <t>Project 193348: HGT4 major overhaul</t>
  </si>
  <si>
    <t>HEC Common - G05511</t>
  </si>
  <si>
    <t>JEC #1 - G02501</t>
  </si>
  <si>
    <t>JEC #3 - G02503</t>
  </si>
  <si>
    <t>LEC Common - G05411</t>
  </si>
  <si>
    <t>05984 10002868</t>
  </si>
  <si>
    <t>Lacygne Common - G08011</t>
  </si>
  <si>
    <t>ENGR STUDY HVAC Repl Phase 3</t>
  </si>
  <si>
    <t>08400 501476</t>
  </si>
  <si>
    <t>08400 501580</t>
  </si>
  <si>
    <t>Turbine Building - WC004</t>
  </si>
  <si>
    <t>Wolf Creek Substation 345 KVA - WC109</t>
  </si>
  <si>
    <t>Leases</t>
  </si>
  <si>
    <t>Book accrual for new Lease standard</t>
  </si>
  <si>
    <t>Accrual for new Lease Standard</t>
  </si>
  <si>
    <t>900 MHz Radio System Replacement - A muli-year project to update and upgrade the MHz equipment and infrastructure site wide.</t>
  </si>
  <si>
    <t>SRUP Breaker Replacement project for a number of different transformer breakers located in the WC Switchyard.  Incorporate drawings and documentation for the new breaker in WC system.</t>
  </si>
  <si>
    <t>Lawrence Energy Center Pond closure - To prepare for potential pond closure, yard drains that bypass the 001 and 002 settling tank will need to have additional underground piping installed.  The coal pile runoff, leachate, and various yard drains in the plant will be directed to the 001/002 settling tanks for additional solids settling residence time to maintain TSS compliance at the 001BV outfall.  Piping will be added that routes the 001/002 settling tank effluent to a new clarifier or directly to the scrubber supply pump structure.</t>
  </si>
  <si>
    <t>Jeffrey Bottom Ash Handling System - Installation of a new bottom Ash handling system for Unit 1.  This system is being installed to meet an environmental regulation.  Cost for engineering contractors &amp; other miscellaneous expenses to support the project.</t>
  </si>
  <si>
    <t>Jeffrey 1 Controls Upgrade - To replace the entire distributed control system on Unit 1.  This project involves all engineering, material procurement and labor required to remove the existing ABB DCS and install an Emerson Ovation.</t>
  </si>
  <si>
    <t>Jeffrey 3 Turbine Inner Cylinder Replacement - The supply of a HP turbine inner cylinder, complete with all stationary blading and all stationary seals, as well as the supply of an IP turbine inner cylinder, complete with a new inlet diagonal stage, all other stationary blading and all stationary seals.</t>
  </si>
  <si>
    <t>Fly Ash Area #2 Landfill Project - Expanding the landfill Area #1 into Area #2.  Construction quality assurance report preparation and construction phase services for the construction of the landfill.</t>
  </si>
  <si>
    <t xml:space="preserve">JEC Common - G02511 </t>
  </si>
  <si>
    <t>HEC Gt #4 - G05524</t>
  </si>
  <si>
    <t>WORKSHEET A (EKC), ADIT Account 190</t>
  </si>
  <si>
    <t>WORKSHEET A (EKC), ADIT Accounts 281 &amp; 282</t>
  </si>
  <si>
    <t>WORKSHEET A (EKC), ADIT Account 283</t>
  </si>
  <si>
    <t>WORKSHEET A (EKC), OTHER RESERVES</t>
  </si>
  <si>
    <t>WORKSHEET F (EKC), ACCOUNT 107 (CWIP), DESCRIPTION AND JUSTIFICATION</t>
  </si>
  <si>
    <t>WORKSHEET G (EKC), ACCOUNT 107 (CWIP), AFUDC CREDIT PROCESS</t>
  </si>
  <si>
    <t>WORKSHEET O (EKC), INTANGIBLE PLANT AMORTIZATION</t>
  </si>
  <si>
    <t>WORKSHEET A (EKC), CWIP Account 107</t>
  </si>
  <si>
    <t>WORKSHEET B (EKS), CWIP Account 107</t>
  </si>
  <si>
    <t>WORKSHEET B (EKS), ADIT Account 190</t>
  </si>
  <si>
    <t>WORKSHEET B (EKS), ADIT Accounts 281 &amp; 282</t>
  </si>
  <si>
    <t>WORKSHEET B (EKS), ADIT Account 283</t>
  </si>
  <si>
    <t>WORKSHEET B (EKS), OTHER RESERVES</t>
  </si>
  <si>
    <t>WORKSHEET H (EKS), ACCOUNT 107 (CWIP), DESCRIPTION AND JUSTIFICATION</t>
  </si>
  <si>
    <t>WORKSHEET I (EKS), ACCOUNT 107 (CWIP), AFUDC CREDIT PROCESS</t>
  </si>
  <si>
    <t>WORKSHEET P (EKS), INTANGIBLE PLANT AMORTIZATION</t>
  </si>
  <si>
    <t>112, 20, c / and EKC &amp; EKS records</t>
  </si>
  <si>
    <t>117, 67, c / and EKC &amp; EKS records</t>
  </si>
  <si>
    <r>
      <t>4</t>
    </r>
    <r>
      <rPr>
        <sz val="12"/>
        <rFont val="Times New Roman"/>
        <family val="1"/>
      </rPr>
      <t xml:space="preserve"> The maximum equity ratio that Evergy will flow through the formula rate is 69%.  The maximum debt ratio Evergy</t>
    </r>
  </si>
  <si>
    <r>
      <t xml:space="preserve">6 </t>
    </r>
    <r>
      <rPr>
        <sz val="12"/>
        <rFont val="Times New Roman"/>
        <family val="1"/>
      </rPr>
      <t>EKS Proprietary Capital is "0" because it is already included in EKC's value (EKS is a subsidiary of EKC).</t>
    </r>
  </si>
  <si>
    <t>WORKSHEET A (EKC), CWIP ACCOUNT 107</t>
  </si>
  <si>
    <t>WORKSHEET A (EKC), ADIT ACCOUNT 190</t>
  </si>
  <si>
    <t>WORKSHEET A (EKC), ADIT ACCOUNTS 281 &amp; 282</t>
  </si>
  <si>
    <t>WORKSHEET A (EKC), ADIT ACCOUNT 283</t>
  </si>
  <si>
    <t>WORKSHEET A (EKC), ADJUSTMENTS FOR OTHER RESERVES</t>
  </si>
  <si>
    <t>WORKSHEET B (EKS), CWIP ACCOUNT 107</t>
  </si>
  <si>
    <t>WORKSHEET B (EKS), ADIT ACCOUNT 190</t>
  </si>
  <si>
    <t>WORKSHEET B (EKS), ADIT ACCOUNTS 281 &amp; 282</t>
  </si>
  <si>
    <t>WORKSHEET B (EKS), ADIT ACCOUNT 283</t>
  </si>
  <si>
    <t>WORKSHEET B (EKS), ADJUSTMENTS FOR OTHER RESERVES</t>
  </si>
  <si>
    <t xml:space="preserve">   A)  EKC Capacity Revenue Credit</t>
  </si>
  <si>
    <t>Total EKC Revenue Credit ( line i + line ii)</t>
  </si>
  <si>
    <t xml:space="preserve">   B)  EKS Capacity Revenue Credit</t>
  </si>
  <si>
    <t>Total EKS Revenue Credit ( line i + line ii )</t>
  </si>
  <si>
    <t>Divisor based on the average of Evergy's 12 Monthly Peaks, in MW,</t>
  </si>
  <si>
    <t xml:space="preserve">  Evergy does not pay the SPP for these services.  The calculation below uses the rates</t>
  </si>
  <si>
    <t xml:space="preserve">  and percent obligation from Evergy's Open Access Transmission Tariff.</t>
  </si>
  <si>
    <r>
      <t>2</t>
    </r>
    <r>
      <rPr>
        <sz val="14"/>
        <rFont val="Times New Roman"/>
        <family val="1"/>
      </rPr>
      <t xml:space="preserve"> The times and load data comes from Evergy's Load and Capability Report, the same</t>
    </r>
  </si>
  <si>
    <t xml:space="preserve">   Divisor includes load of customers required to be included in Evergy's generation</t>
  </si>
  <si>
    <r>
      <t>4</t>
    </r>
    <r>
      <rPr>
        <sz val="14"/>
        <rFont val="Times New Roman"/>
        <family val="1"/>
      </rPr>
      <t xml:space="preserve"> RECs shall be equal to the net of the gains and losses from their sale.  Gains are booked to Evergy</t>
    </r>
  </si>
  <si>
    <t xml:space="preserve">  from the Evergy Form 1 page 450.3, Footnote: Schedule Page 106b, Renewable Energy Credits line.</t>
  </si>
  <si>
    <t>WORKSHEET F (EKC) ACCOUNT 107, CONSTRUCTION WORK IN PROGRESS (CWIP), DESCRIPTION AND JUSTIFICATION</t>
  </si>
  <si>
    <t>WORKSHEET G (EKC), ACCOUNT 107, CONSTRUCTION WORK IN PROGRESS (CWIP), AFUDC CREDIT PROCESS</t>
  </si>
  <si>
    <t>WORKSHEET H (EKS) ACCOUNT 107, CONSTRUCTION WORK IN PROGRESS (CWIP), DESCRIPTION AND JUSTIFICATION</t>
  </si>
  <si>
    <t>WORKSHEET I (EKS), ACCOUNT 107, CONSTRUCTION WORK IN PROGRESS (CWIP), AFUDC CREDIT PROCESS</t>
  </si>
  <si>
    <t>EKC Energy Centers</t>
  </si>
  <si>
    <t>Calculated Depreciation Expense, All EKC Energy Centers</t>
  </si>
  <si>
    <r>
      <t xml:space="preserve">Total EKC Depreciation Expense </t>
    </r>
    <r>
      <rPr>
        <vertAlign val="superscript"/>
        <sz val="12"/>
        <rFont val="Times New Roman"/>
        <family val="1"/>
      </rPr>
      <t>6</t>
    </r>
  </si>
  <si>
    <t>Calculated Accumulated Reserve for Depreciation, All EKC Energy Centers</t>
  </si>
  <si>
    <r>
      <t xml:space="preserve">Less: EKC CWIP depreciation expense credit </t>
    </r>
    <r>
      <rPr>
        <vertAlign val="superscript"/>
        <sz val="12"/>
        <rFont val="Times New Roman"/>
        <family val="1"/>
      </rPr>
      <t>5</t>
    </r>
  </si>
  <si>
    <r>
      <t xml:space="preserve">Total EKC Accumulated Reserve for Depreciation </t>
    </r>
    <r>
      <rPr>
        <vertAlign val="superscript"/>
        <sz val="12"/>
        <rFont val="Times New Roman"/>
        <family val="1"/>
      </rPr>
      <t>6</t>
    </r>
  </si>
  <si>
    <t>EKS Energy Centers</t>
  </si>
  <si>
    <t>Calculated Depreciation Expense, All EKS Energy Centers</t>
  </si>
  <si>
    <r>
      <t xml:space="preserve">Less: EKS CWIP depreciation expense credit </t>
    </r>
    <r>
      <rPr>
        <vertAlign val="superscript"/>
        <sz val="12"/>
        <rFont val="Times New Roman"/>
        <family val="1"/>
      </rPr>
      <t>5</t>
    </r>
  </si>
  <si>
    <r>
      <t xml:space="preserve">Total EKS Depreciation Expense </t>
    </r>
    <r>
      <rPr>
        <vertAlign val="superscript"/>
        <sz val="12"/>
        <rFont val="Times New Roman"/>
        <family val="1"/>
      </rPr>
      <t>6</t>
    </r>
  </si>
  <si>
    <t>Calculated Accumulated Reserve for Depreciation, All EKS Energy Centers</t>
  </si>
  <si>
    <r>
      <t xml:space="preserve">Total EKS Accumulated Reserve for Depreciation </t>
    </r>
    <r>
      <rPr>
        <vertAlign val="superscript"/>
        <sz val="12"/>
        <rFont val="Times New Roman"/>
        <family val="1"/>
      </rPr>
      <t>6</t>
    </r>
  </si>
  <si>
    <r>
      <t>1</t>
    </r>
    <r>
      <rPr>
        <sz val="12"/>
        <rFont val="Times New Roman"/>
        <family val="1"/>
      </rPr>
      <t xml:space="preserve"> The basis for calculating depreciation expense, as well as the year-end balance for accumulated reserve, comes from Evergy's records and reflect balance at end of month. </t>
    </r>
  </si>
  <si>
    <r>
      <t>6</t>
    </r>
    <r>
      <rPr>
        <sz val="12"/>
        <rFont val="Times New Roman"/>
        <family val="1"/>
      </rPr>
      <t xml:space="preserve"> The values for Accumulated Depreciation and Depreciation Expense shall be taken from the Form 1 pages referenced in Item 3, Footnote 2 and Item 4, Footnote 5 only as long as the rates included in column (e) on pages 337 through 337.3, by generating unit and account number, are equal to the values on Wk. S.  Collection of depreciation will end when the associated investment is retired; amortization amounts shall cease once the amount is fully amortized.  If rates in column (e) of future Form 1 submittals differ from these rates, Evergy shall either recalculate its Accumulated Depreciation and Depreciation Expense on this worksheet, using the rates in Wk. S, or seek to have the changed rates approved by the Commission through a Section 205 filing before implementing them in the formula rate.  All other parties seeking a change to the depreciation rates included in Wk. S must submit a  Section 206 filing with the Commission.</t>
    </r>
  </si>
  <si>
    <t xml:space="preserve">   The values will be taken from the Form 1s for the Evergy companies, EKC page 450.1, Footnote: Schedule Page 106b, Line Nos.</t>
  </si>
  <si>
    <t xml:space="preserve">   2 through 18; EKS 450.1, Footnote: Schedule Page 106b, Line Nos. 2 through 10.</t>
  </si>
  <si>
    <t xml:space="preserve">   Footnote: Schedule Page 106b, Line Nos. 2 through 18; EKS 450.1, Footnote: Schedule Page 106b, Line Nos. 2 through 10.</t>
  </si>
  <si>
    <r>
      <t xml:space="preserve">   The values will be taken from the Form</t>
    </r>
    <r>
      <rPr>
        <strike/>
        <sz val="12"/>
        <rFont val="Times New Roman"/>
        <family val="1"/>
      </rPr>
      <t>s</t>
    </r>
    <r>
      <rPr>
        <sz val="12"/>
        <rFont val="Times New Roman"/>
        <family val="1"/>
      </rPr>
      <t xml:space="preserve"> 1s for the Evergy companies, WEN page 450.1,</t>
    </r>
  </si>
  <si>
    <t>Evergy Generating, Inc.</t>
  </si>
  <si>
    <r>
      <t xml:space="preserve">EKC Energy Centers </t>
    </r>
    <r>
      <rPr>
        <vertAlign val="superscript"/>
        <sz val="12"/>
        <rFont val="Times New Roman"/>
        <family val="1"/>
      </rPr>
      <t>2</t>
    </r>
  </si>
  <si>
    <r>
      <t xml:space="preserve">EKS Energy Centers </t>
    </r>
    <r>
      <rPr>
        <vertAlign val="superscript"/>
        <sz val="12"/>
        <rFont val="Times New Roman"/>
        <family val="1"/>
      </rPr>
      <t>3</t>
    </r>
  </si>
  <si>
    <r>
      <t>3</t>
    </r>
    <r>
      <rPr>
        <sz val="12"/>
        <rFont val="Times New Roman"/>
        <family val="1"/>
      </rPr>
      <t xml:space="preserve"> The EKS Energy Centers are; LACEC - LaCygne, NEC - Neosho, - MGEC - Murray Gill, GEEC - Gordon Evans, and WCEC - Wolf Creek.</t>
    </r>
  </si>
  <si>
    <t>EKC and EKS Amount</t>
  </si>
  <si>
    <t>EKC Share</t>
  </si>
  <si>
    <t>EKC Amount</t>
  </si>
  <si>
    <t>EKS Share</t>
  </si>
  <si>
    <t>EKS Amount</t>
  </si>
  <si>
    <t xml:space="preserve">  EKC/EKS Share comes from Evergy's internal allocation analysis.</t>
  </si>
  <si>
    <r>
      <t>2</t>
    </r>
    <r>
      <rPr>
        <sz val="12"/>
        <rFont val="Times New Roman"/>
        <family val="1"/>
      </rPr>
      <t xml:space="preserve"> FAS 106 expenses are from the confidential Evergy Retiree Welfare Plan Actuarial Valuation Report, page 3,</t>
    </r>
  </si>
  <si>
    <r>
      <t>3</t>
    </r>
    <r>
      <rPr>
        <sz val="12"/>
        <rFont val="Times New Roman"/>
        <family val="1"/>
      </rPr>
      <t xml:space="preserve"> FAS 112 expenses are from the confidential Evergy Long-Term Disability Plan Actuarial Valuation Report, page 2, </t>
    </r>
  </si>
  <si>
    <t>Evergy will not flow through gains/losses on interest rate derivatives to long term debt cost under the formula rate unless approved in a Section 205 or 206 filing.</t>
  </si>
  <si>
    <t>Evergy will not flow through the formula rate long term debt costs of a drawdown loan type unless approved in a Section 205 or 206 filing.  Provisions for a drawdown long term loan will include a Formula Rate Template tariff workpaper showing debt cost calculations based upon</t>
  </si>
  <si>
    <r>
      <t>1</t>
    </r>
    <r>
      <rPr>
        <sz val="12"/>
        <rFont val="Times New Roman"/>
        <family val="1"/>
      </rPr>
      <t>The date and gain/loss when the listed issuance was prematurely retired. Evergy elects to amortize gains/losses upon reacquisition over</t>
    </r>
  </si>
  <si>
    <t>EKS Energy/Revenue for OSSM</t>
  </si>
  <si>
    <t>Evergy OSSM Determination</t>
  </si>
  <si>
    <t>Account 447 [Energy/Revenue for OSSM, EKC line 45 &amp; EKS line 43]</t>
  </si>
  <si>
    <t>EKC Energy/Revenue for OSSM</t>
  </si>
  <si>
    <t>external to Evergy's footprint.</t>
  </si>
  <si>
    <t>FreeState REC</t>
  </si>
  <si>
    <t>J19336701</t>
  </si>
  <si>
    <t>J19337101</t>
  </si>
  <si>
    <t>ORS0000101</t>
  </si>
  <si>
    <t>J19306301</t>
  </si>
  <si>
    <t>L19423301</t>
  </si>
  <si>
    <t>J19262701</t>
  </si>
  <si>
    <t>LRL0007101</t>
  </si>
  <si>
    <t>JRJ0000901</t>
  </si>
  <si>
    <t>R19324301</t>
  </si>
  <si>
    <t>J19259701</t>
  </si>
  <si>
    <t>SC0 Controls ReplacementReplace tur</t>
  </si>
  <si>
    <t>LEC0 Railroad Track ReplacementsDet</t>
  </si>
  <si>
    <t>LEC0 ELG Pre treatmentInstall FGD m</t>
  </si>
  <si>
    <t>J0 7183 Generator Rotor RewindGener</t>
  </si>
  <si>
    <t xml:space="preserve">WP Tower Manlift Installation	</t>
  </si>
  <si>
    <t>10003073</t>
  </si>
  <si>
    <t>W000014593</t>
  </si>
  <si>
    <t>W000501639</t>
  </si>
  <si>
    <t>10002598</t>
  </si>
  <si>
    <t>10002770</t>
  </si>
  <si>
    <t>10003074</t>
  </si>
  <si>
    <t>10100105</t>
  </si>
  <si>
    <t>REFUELING MACHINE UPGRADE PROJECT</t>
  </si>
  <si>
    <t>7000HP RCP motor, pump and air cool</t>
  </si>
  <si>
    <t>LAC 1 Exciter Replacement</t>
  </si>
  <si>
    <t>LAC2 FIlter Bag Replacement</t>
  </si>
  <si>
    <t xml:space="preserve">  account 411800, losses shall be booked to Evergy account 411900.  The values will be taken</t>
  </si>
  <si>
    <t>501000 St Power Generation Fuel Natural Gas</t>
  </si>
  <si>
    <t>501000 St Power Generation Fuel # 6 Oil</t>
  </si>
  <si>
    <t>501000 St Power Gen Fuel #2 Oil</t>
  </si>
  <si>
    <t>501000 St Power General Fuel Coal</t>
  </si>
  <si>
    <t>501000 St Power General Fuel Coal Cntr Amrt</t>
  </si>
  <si>
    <t>501300 St Pow Gen - Fuel - Ammonia</t>
  </si>
  <si>
    <t>501300 St Power Generation Fuel Chemicl Additvs</t>
  </si>
  <si>
    <t>501300 Fuel - Urea</t>
  </si>
  <si>
    <t>501300 Fuel - Activated Carbon</t>
  </si>
  <si>
    <t>501400 St Power Generation Fuel Waste Disposal</t>
  </si>
  <si>
    <t>501600 Fuel Exp Recovery - RECA</t>
  </si>
  <si>
    <t>501610 Fuel Exp Recovery - RECA-Current Year</t>
  </si>
  <si>
    <r>
      <t>2</t>
    </r>
    <r>
      <rPr>
        <sz val="12"/>
        <rFont val="Times New Roman"/>
        <family val="1"/>
      </rPr>
      <t xml:space="preserve"> The EKC Energy Centers are; JEC - Jeffrey, TEC - Tecumseh, LEC- Lawrence, HEC - Hutchinson, GEEC - Gordon Evans, EEC - Emporia, CP - Central Plains, FR - Flat Ridge, WP-Western Plains and SC - Spring Creek.</t>
    </r>
  </si>
  <si>
    <t>WP - Wind</t>
  </si>
  <si>
    <t>Diesel Gen-G.Evans</t>
  </si>
  <si>
    <t>The amount booked to Account 566004 comes from monthly bills received from the SPP for Designated Network Resources</t>
  </si>
  <si>
    <t>Evergy Kansas Central First Mortgage Bonds</t>
  </si>
  <si>
    <t>Evergy Kansas Central Pollution Control Bonds</t>
  </si>
  <si>
    <t>Evergy Kansas South First Mortgage Bonds</t>
  </si>
  <si>
    <t>Evergy Kansas South Pollution Control Bonds</t>
  </si>
  <si>
    <t>Purchase 3D Int Sub Training Curric</t>
  </si>
  <si>
    <t>Lenel Access Ctrl Consol Software</t>
  </si>
  <si>
    <t>SharePoint PI 19.4</t>
  </si>
  <si>
    <t>EAM Standard Update PI 19.2</t>
  </si>
  <si>
    <t>Anywhere SW and Labor</t>
  </si>
  <si>
    <t>GIS Standard Update 2019</t>
  </si>
  <si>
    <t>CIS Replacement</t>
  </si>
  <si>
    <t>Virtual Hold Software- Wichita</t>
  </si>
  <si>
    <t>BI/Data Lake Cornerstone Project</t>
  </si>
  <si>
    <t>Disk Storage Add SW</t>
  </si>
  <si>
    <t>MFD Printer Software</t>
  </si>
  <si>
    <t>Telecom Standard Update Software</t>
  </si>
  <si>
    <t>Reliability Analytics</t>
  </si>
  <si>
    <t>Customer Care Analytics</t>
  </si>
  <si>
    <t>Power Delivery Analytics</t>
  </si>
  <si>
    <t>IBM DataStage Licenses</t>
  </si>
  <si>
    <t>Month to Month</t>
  </si>
  <si>
    <t xml:space="preserve">Cyber security project management_x000D_
</t>
  </si>
  <si>
    <t xml:space="preserve">Cyber Security -CSAT_x000D_
_x000D_
</t>
  </si>
  <si>
    <t>Click Share Data Pulls South</t>
  </si>
  <si>
    <t xml:space="preserve">Western Plains Wind Farm Tower Manlift Installation	</t>
  </si>
  <si>
    <t xml:space="preserve">Lawrence Energy Center Railroad Track Replacements of deteriorated subgrade and ties.  Tracks on the east end were worn due to high traffic.  </t>
  </si>
  <si>
    <t xml:space="preserve">Lawrence Energy Center ELG Pre treatment Install Flue Gas Desulfurization.  This project is to install the reverse osmosis for the scrubber make-up.  This project will reduce chloride content of the make-up water for the scrubber and ash system and enable us to meet environmental regulation called Effluent Limitation Guidelines. </t>
  </si>
  <si>
    <t>LaCygne 1 Exciter Replacement.  Retrofit of the LAC1 excitor to include the 1)  Replacement of rotating brushless hydrogen cooled exciter with collector shaft arrangement; 2)  Replacement of static excitation cabinets and controllers.</t>
  </si>
  <si>
    <t>LaCygne, 2C Aux Boiler Replacement.  This project would displace one fuel oil fired boiler with a smaller electric boiler to provide building heat steam and aux steam for turbine seals during unit start-ups.</t>
  </si>
  <si>
    <t xml:space="preserve">LaCygne 2 Filter Bag Replacement.  This project involves replacing the LAC2 Fabric Filter Baghouse filter bags.  </t>
  </si>
  <si>
    <t>LaCygne, Landfill Storm Water Drainage.  This project involves meeting a requirement regarding the Landfill no longer allowed to drain into the Lower AQC Impoundment.</t>
  </si>
  <si>
    <t>LaCygne Upper AQC Impoundment Stormwater.  This project involves meeting a requirement regarding the Upper ACQ impoundment no longer allowed to drain into the Lower AQC Impoundment.</t>
  </si>
  <si>
    <t>Jeffrey Energy Center Project #193367 J1 Reheat Pendant.  This project is to replace all 142 inlet Reheat Pendants, all 143 outlet Reheat Pendants and both of their water cooled spacer tubes from the upper dead air space to the penthouse.</t>
  </si>
  <si>
    <t xml:space="preserve">Jeffrey Energy Center Capital Project 193371-J1 Selective Catalytic Reduction.  This project is to install the 4th layer of catalyst, consisting of 252 modules. </t>
  </si>
  <si>
    <t>Jeffrey Energy Center J3 Controls Upgrade.  The existing Unit 3 Digital Control System (DCS) will be replaced.  This is the final unit of the plant to be replaced.</t>
  </si>
  <si>
    <t>Jeffrey Energy Center Project 193063 - This project is to install a bottom ash handling system at JEC.  The system is needed to address new regulatory requirements.  The system will replace the Bottom Ash Settling Area to meet CCR (Coal Combustion Residual) and ELG (Effluent Limitation Guidelines) Regulation.</t>
  </si>
  <si>
    <t>Jeffrey Energy Center Project 192627 - JCom Plant Hopper.  This project is the result of a Root Cause Analysis following a Plant Hopper fire during a unit 1 or unit 2 outage.  The plant Hopper provides coal to both units and is divided down the center.</t>
  </si>
  <si>
    <t>The Wolf Creek Refueling Machine and its controls system require upgrades to address reliability concerns stemming from the obsolescence, wear and maintainabililty of the existing system.</t>
  </si>
  <si>
    <t>Wolf Creek, return for repair/refurbishment, Motor, 7000 HP, 13.2 KV, 3 Phase, 60 HZ, Insulation Class F, squirrel cage induction, for Westinghouse Reactor Coolant Pump (RCP), less the upper bearing oil cooler shroud and 2 air coolers.</t>
  </si>
  <si>
    <t>J0 7183 Generator Rotor Rewind Generator rotor 7183 developed a shorted turn while in operation on Unit 1 in 2019.  This project is to rewind this rotor in 2020.</t>
  </si>
  <si>
    <t xml:space="preserve">    Account 111011 [Wks. O (EKC) &amp; P (EKS)]</t>
  </si>
  <si>
    <t xml:space="preserve">Spring Creek Controls Replacement </t>
  </si>
  <si>
    <t>RL Retired Plants</t>
  </si>
  <si>
    <t>Non-NOL Account 190 Excess Deferred Fed</t>
  </si>
  <si>
    <t>Non-NOL Account 190 Excess Deferred St</t>
  </si>
  <si>
    <t>NOL - Excess Deferred Fed</t>
  </si>
  <si>
    <t>NOL - Excess Deferred Taxes Fed</t>
  </si>
  <si>
    <t>NOL - Excess Deferred State</t>
  </si>
  <si>
    <t>NOL - Excess Deferred Taxes State</t>
  </si>
  <si>
    <t>Def Inc Tax FASB109</t>
  </si>
  <si>
    <t>Def Inc Tax FASB109 KS</t>
  </si>
  <si>
    <t>ADIT Oth FAS 109 NOL</t>
  </si>
  <si>
    <t>ADIT Oth FAS 109 Non-Prop</t>
  </si>
  <si>
    <t>Accelerated amortization of pollution control equipment</t>
  </si>
  <si>
    <t>NonUtility Deferred Tax Liability - Plant</t>
  </si>
  <si>
    <t>AFUDC Debt in CWIP</t>
  </si>
  <si>
    <t>AFUDC debt in CWIP</t>
  </si>
  <si>
    <t>KS COVID Deferral</t>
  </si>
  <si>
    <t>Book deferral of COVID related costs</t>
  </si>
  <si>
    <t>Account 283 Excess Deferred Taxes Fed</t>
  </si>
  <si>
    <t>Excess Deferred Taxes Fed Rate Change</t>
  </si>
  <si>
    <t>Account 283 Excess Deferred Taxes State</t>
  </si>
  <si>
    <t>Excess Deferred Taxes State Rate Change</t>
  </si>
  <si>
    <t>ADIT Oth FASB 109 Adj</t>
  </si>
  <si>
    <t>ADIT Oth FAS 109 Non Prop</t>
  </si>
  <si>
    <t>Non-NOL Account Excess Deferred Fed</t>
  </si>
  <si>
    <t>Non-NOL Account 190 Excess Deferred State</t>
  </si>
  <si>
    <t>Non-NOL Account Excess Deferred State</t>
  </si>
  <si>
    <t xml:space="preserve">Def Inc Tax FASB 109 </t>
  </si>
  <si>
    <t>Def Inc Tax FASB 109 KS</t>
  </si>
  <si>
    <t>Excess Deferred Taxes account 283 Reclassed to 190 in FERC Adj</t>
  </si>
  <si>
    <t>Op Tax Reserve - LT</t>
  </si>
  <si>
    <t>Dismantling - LaCygne 2 Lease</t>
  </si>
  <si>
    <t>JEC Project #193367 J1 Reheat Pendant R</t>
  </si>
  <si>
    <t>JEC Project 193063 - The project is to</t>
  </si>
  <si>
    <t>JEC Project 192627 - JCom Plant Hopper</t>
  </si>
  <si>
    <t>JEC Capital Project 193371-J1 SCR Catal</t>
  </si>
  <si>
    <t>JEC J3 Controls Upgrade</t>
  </si>
  <si>
    <t>LAC Landfill StrmWtr Drainage</t>
  </si>
  <si>
    <t>LAC 2C Aux Boiler Replacement</t>
  </si>
  <si>
    <t>LAC Upper AQC Impndmt Strmwtr</t>
  </si>
  <si>
    <t>JEC Bottom Ash Pond</t>
  </si>
  <si>
    <t>Account 111011</t>
  </si>
  <si>
    <t>Total Account 111011</t>
  </si>
  <si>
    <t>Account 111011 -  Rate adjusts monthly based off the remaining months on the lease.</t>
  </si>
  <si>
    <t>Total  Account 111011</t>
  </si>
  <si>
    <t xml:space="preserve">  plus workers compensation expense booked to account 925000.</t>
  </si>
  <si>
    <t>W000020292</t>
  </si>
  <si>
    <t>Substation XFMR #7 Replacement</t>
  </si>
  <si>
    <t>Wolf Creek, Substation Transformer #7 Replacement.</t>
  </si>
  <si>
    <t>Various book accruals deductible for tax when paid</t>
  </si>
  <si>
    <t>ADIT on Reg Liab related to levelized program for retail customers for Western Plains Wind Farm</t>
  </si>
  <si>
    <t>ADIT on Reg Liab related to continued depreciation on retired plants.</t>
  </si>
  <si>
    <t>Non-NOL Account 190 Excess Deferred - State</t>
  </si>
  <si>
    <t>NonUtility Depreciation Expense</t>
  </si>
  <si>
    <t>SHAREPT Lotus Notes PI 20.1</t>
  </si>
  <si>
    <t xml:space="preserve">SWIFT 2.0 </t>
  </si>
  <si>
    <t>OMS Consolidation Software</t>
  </si>
  <si>
    <t>OMS Consol SW 2020</t>
  </si>
  <si>
    <t>EAM Generation NonNuclear SW 2020</t>
  </si>
  <si>
    <t>SharePoint Consolidation Phase 1</t>
  </si>
  <si>
    <t>BNSF Data Center Consol SW 2020</t>
  </si>
  <si>
    <t>Data Network Transformation SW</t>
  </si>
  <si>
    <t>Telecom Std Update SW</t>
  </si>
  <si>
    <t>AD Consol Ph.2 Sailpoint Software</t>
  </si>
  <si>
    <t>Cascade Work Mgmt SW</t>
  </si>
  <si>
    <t>Briefcams</t>
  </si>
  <si>
    <t>Data Hub Phase II</t>
  </si>
  <si>
    <t>Cisco EA</t>
  </si>
  <si>
    <t>MECM AD Implementation</t>
  </si>
  <si>
    <t>Knock and Collect</t>
  </si>
  <si>
    <t>Power Advocate SW Renewal</t>
  </si>
  <si>
    <t>F5 License Upgrade</t>
  </si>
  <si>
    <t>CyberArk Corporate Implementation</t>
  </si>
  <si>
    <t>Telecom SW Wichita Contact Center</t>
  </si>
  <si>
    <t>Video Surveillance Cons Wichita</t>
  </si>
  <si>
    <t>Cornerstone People Soft FSCM-Capita</t>
  </si>
  <si>
    <t>Cornerstone Peoplesoft HCM-Capital</t>
  </si>
  <si>
    <t>Capital Maximo - CAP Implementation</t>
  </si>
  <si>
    <t>JRJ0009901</t>
  </si>
  <si>
    <t>J19442701</t>
  </si>
  <si>
    <t>J19396201</t>
  </si>
  <si>
    <t>J19323601</t>
  </si>
  <si>
    <t>G51951901</t>
  </si>
  <si>
    <t>W000501767</t>
  </si>
  <si>
    <t>W000501807</t>
  </si>
  <si>
    <t>ARO Upper AQC Impoundmt Closure</t>
  </si>
  <si>
    <t>LAC0 Fleetwide Remote Monitoring</t>
  </si>
  <si>
    <t>LAC1 Cold Reheat Piping Replacement</t>
  </si>
  <si>
    <t>LAC1 Air Heater Basket Replacement</t>
  </si>
  <si>
    <t>LACO CMF Equipment Relocation</t>
  </si>
  <si>
    <t>LAC1 Baghouse B Compartment Replace</t>
  </si>
  <si>
    <t>J3 HP IP Inner Cylinder Replacement</t>
  </si>
  <si>
    <t>Security Phase 2 Modifications.</t>
  </si>
  <si>
    <t>Deferred Compensation salaried WE</t>
  </si>
  <si>
    <t>AMT Tax Credit</t>
  </si>
  <si>
    <t>State Tax - Credits</t>
  </si>
  <si>
    <t>Spring Creek Basis Difference</t>
  </si>
  <si>
    <t>UTB Liab Interest State</t>
  </si>
  <si>
    <t>LEC Environmental Liability</t>
  </si>
  <si>
    <t>BOA Office &amp; Call Ctr Lease</t>
  </si>
  <si>
    <t>Accrued Interest</t>
  </si>
  <si>
    <t>Capital Loss Carryforward</t>
  </si>
  <si>
    <t>RL Wester Plains Phase In</t>
  </si>
  <si>
    <t>State Tax Credits Fed Effect</t>
  </si>
  <si>
    <t>Other Deferred Kansas Tax Credits</t>
  </si>
  <si>
    <t>FBOS Tax Rate Change</t>
  </si>
  <si>
    <t>Excess Deferred account 190</t>
  </si>
  <si>
    <t>Deferred compensation interest accrued on books, deductible for tax when paid</t>
  </si>
  <si>
    <t>Alternative minimum tax credits to be used in future years</t>
  </si>
  <si>
    <t>Kansas income tax credits to be utilized in future years</t>
  </si>
  <si>
    <t>Book-tax basis difference Spring Creek plant</t>
  </si>
  <si>
    <t>Book accrual for state interest on uncertain income tax positions.</t>
  </si>
  <si>
    <t>Deferred income tax associated with the accrued environmental liability for Lawrence Energy Center.</t>
  </si>
  <si>
    <t>Book accrual office lease expense vs. prescribed costs for tax per IRC Sec 467</t>
  </si>
  <si>
    <t>FAS 106 and 112 book accruals vs actual cost for tax including Workers Comp</t>
  </si>
  <si>
    <t>Book accrual for interest on tax receivable</t>
  </si>
  <si>
    <t>Deferred Fed Effect of KS High Performance Incentive Program</t>
  </si>
  <si>
    <t>Deferred income tax associated with deferred Kansas tax credits other than HPIP credits</t>
  </si>
  <si>
    <t>Non-NOL Account 190 Excess Deferred  - Fed</t>
  </si>
  <si>
    <t>Federal Benefit of State EDIT</t>
  </si>
  <si>
    <t>Repair Allowance</t>
  </si>
  <si>
    <t>Employee Benefits And Taxes</t>
  </si>
  <si>
    <t>AFUDC - Equity Component</t>
  </si>
  <si>
    <t>Customer Advances</t>
  </si>
  <si>
    <t>AFUDC - FERC Equity Component</t>
  </si>
  <si>
    <t>AFUDC ECRR Equity Component</t>
  </si>
  <si>
    <t>Excess Deferred Taxes - Other 282</t>
  </si>
  <si>
    <t>NonUtility Depreciaiton Expense</t>
  </si>
  <si>
    <t>DIT Reg Liab ITC</t>
  </si>
  <si>
    <t>Excess Deferred Taxes Account 282</t>
  </si>
  <si>
    <t>Repair costs deducted for tax in accordance with the asset guideline class repair allowance provisions for pre-1981 assets.</t>
  </si>
  <si>
    <t xml:space="preserve">Employee benefits and taxes other than income capitalized for books vs. deducted for tax.  </t>
  </si>
  <si>
    <t>Equity component of AFUDC</t>
  </si>
  <si>
    <t>Contributions taxable in year received under Tax Reform Act of 1986; treated as asset reimbursements for book purposes.</t>
  </si>
  <si>
    <t>Advances taxable in year received for tax, recorded to account 252 liability for books</t>
  </si>
  <si>
    <t>Deferred tax liability for the equity component of FERC AFUDC</t>
  </si>
  <si>
    <t>Deferred tax liability for the equity component of ECRR AFUDC</t>
  </si>
  <si>
    <t>Excess Deferred Taxes</t>
  </si>
  <si>
    <t>Coal Deficient Tonnage Pymts</t>
  </si>
  <si>
    <t>UTB Fed Benefit on State Interest</t>
  </si>
  <si>
    <t>Reg Liability AFUDC Equity - FERC</t>
  </si>
  <si>
    <t>Regulatory Liability AFUDC ECRR</t>
  </si>
  <si>
    <t>Reg Asset Peak Vehicle</t>
  </si>
  <si>
    <t>SPP Accrual Power Mkt</t>
  </si>
  <si>
    <t>Winter Weather AAO</t>
  </si>
  <si>
    <t>Non Cost of Service Depreciation</t>
  </si>
  <si>
    <t>Book amortization of AMAX coal contract buyout costs vs deducted for tax when paid in 1993.</t>
  </si>
  <si>
    <t>Book accrual for federal tax benefit on state taxes on interest on uncertain income tax positions .</t>
  </si>
  <si>
    <t>Deferred tax on the regulatory liability associated with the equity component of FERC AFUDC</t>
  </si>
  <si>
    <t>Deferred tax on the regulatory liability associated with the equity component of ECRR AFUDC</t>
  </si>
  <si>
    <t>Deferred tax on regulatory asset associated with Peak/Vehicle</t>
  </si>
  <si>
    <t>Accrual for SPP Power Marketing</t>
  </si>
  <si>
    <t>Includes costs in the winter weather AAO</t>
  </si>
  <si>
    <t>Excess Deferred Taxes account 283</t>
  </si>
  <si>
    <t>Inj &amp; Damages Work Comp</t>
  </si>
  <si>
    <t>Inj &amp; Damages Other</t>
  </si>
  <si>
    <t>Environment Reserve</t>
  </si>
  <si>
    <t>Accrued Vacation Payable Paid Current</t>
  </si>
  <si>
    <t>Accrued Vacation Payable Liab</t>
  </si>
  <si>
    <t>Accrued Vacation Payable Paid</t>
  </si>
  <si>
    <t>WCNOC Vacation Liab</t>
  </si>
  <si>
    <t>Accrued Vacation Liab Bal Fwd</t>
  </si>
  <si>
    <t>Property Ins Reserve</t>
  </si>
  <si>
    <t>Workers Compensation Liability Reserve</t>
  </si>
  <si>
    <t>Inj and Damages Other Reserve</t>
  </si>
  <si>
    <t xml:space="preserve">Environment Reserve </t>
  </si>
  <si>
    <t>Deferred Compensation salaried Wri</t>
  </si>
  <si>
    <t>Federal - NOL Tax Benefits</t>
  </si>
  <si>
    <t>BOA Office and Call Center Lease</t>
  </si>
  <si>
    <t>FBOS EDIT</t>
  </si>
  <si>
    <t>Income tax rate difference on previous KGE Federal net operating loss</t>
  </si>
  <si>
    <t>SFAS 87 pension accrual per books vs. actual contributions for tax</t>
  </si>
  <si>
    <t>Federal net operating loss tax benefits to be utilized in future years</t>
  </si>
  <si>
    <t>Book accrual for potential sales tax exposure; deductible for tax when paid</t>
  </si>
  <si>
    <t>DIT FERC WC and La Cygne</t>
  </si>
  <si>
    <t>FERC portion of depreciation expense difference for the period 04/01/02 through 12/21/04 resulting from KCC approved depreciation rates as of 07/01/01 vs. the longer life pre-07/01/01 rates for Wolf Creek Generating Station and LaCygne Unit 2.</t>
  </si>
  <si>
    <t>NonUtilityTax Equivalent Straight Line Depreciation (ESL) calculated on tax basis of assets using book rates vs. accelerated depreciation as per provisions of Code Sections 167 and 168.  Basis is depreciable plant</t>
  </si>
  <si>
    <t>Wcnoc Design Basis Costs</t>
  </si>
  <si>
    <t>Flour Daniel Settlement</t>
  </si>
  <si>
    <t>Costs capitalized on books vs. deducted for tax.</t>
  </si>
  <si>
    <t xml:space="preserve">WCOC related settlement proceeds recorded as income on books vs. recorded as basis adjustment for tax. </t>
  </si>
  <si>
    <t>R/L AFUDC Equity FERC</t>
  </si>
  <si>
    <t>Amort of Acquistion Adjustment</t>
  </si>
  <si>
    <t>ADIT Other FAS 109 Adj</t>
  </si>
  <si>
    <t>ADIT Other FAS 109 NonProp</t>
  </si>
  <si>
    <t>ADIT Other FAS 109 NOL</t>
  </si>
  <si>
    <t>ADIT Other FAS 109 NonProp KS</t>
  </si>
  <si>
    <t>Deferred tax on the regulatory liability associated with the equity component of FERC AFUDC.</t>
  </si>
  <si>
    <t>Includes costs associated with the Winter Weather AAO</t>
  </si>
  <si>
    <t>Installation of upgraded Southwest Delay Fencing in order to provide a credited delay boundary inside the PA. BREs 5 &amp; 7 Replacement / relocation in order to provide improved site lines, interlocking fields of fire and mutual support at both the North and Southwest corner of the existing PA with new 30' blast resistant BREs.  Will increase efficiency in site operations and the overall security defensive strategy over the next several years.</t>
  </si>
  <si>
    <t>Roof is deteriating and is becoming a safety issue of metal deck falling down to ground and also the ability to walk on the roof has become very limited. Replace the cascade roof including asbestos removal, SBAC platform removal and  install of new SBAC platforms.</t>
  </si>
  <si>
    <t>Install Effluent Limit Guidelines compliance systems for the flue gas desulfurization systems at  Jeffrey Energy Center.  The Project scope includes modifications and upgrades as required to meet EPA Effluent Limit Guidelines (ELG) discharge requirements for the flue gas desulfurization FGD systems at Jeffrey Energy Center. Project will inlcude the installation of gypsum thickeners with associated piping, pumps, instrumenation and controls.</t>
  </si>
  <si>
    <t>The scope of this project will be to replace all 142 inlet Reheat Pendants, all 143 outlet Reheat Pendants, both of their water cooled spacer tubes from the upper dead air space to the penthouse, and the rooftubes in the immediate area.</t>
  </si>
  <si>
    <t>JEC project is in support of generation's fleetwide online remote monitoring initiative.   Online, wireless sensors will be installed at the plants to assist in the gathering of PdM data and help the company transition to a more Condition Based Maintenance approach. The data will feed into Pi and will be used in the Monitoring &amp; Diagnostic center's APR software.</t>
  </si>
  <si>
    <t>JEC project is in support of generation's fleetwide online remote monitoring initiative</t>
  </si>
  <si>
    <t>J2 Reheat Pendant Replacement</t>
  </si>
  <si>
    <t>Install Effluent Limit Guidelines compliance systems for the flue gas desulfurization systems</t>
  </si>
  <si>
    <t xml:space="preserve">J2 Cascade Roof Replacement  </t>
  </si>
  <si>
    <t>Sedgewick County Zoo Battery Install Project to install a 1 MW 4 hour battery at the Sedgewick County Zoo.  Battery is a pilot project to give the Kansas Central Power Marketing group a test unit to see how a battery performs in the SPP market.</t>
  </si>
  <si>
    <t>Sedgewick County Zoo Battery Install a 1 MW 4 hour battery</t>
  </si>
  <si>
    <t>In preparation for final closure, a cover of 18 inches of impermeable soil and 6 inches of vegetative cover will be placed over the CCR or a synthetic cover system will be placed over the CCR to provide protection against infiltration of rain water in compliance with the CCR rule for approximately 46 acres.   In addition, the state of Kansas has required storm water improvements that will add approximately $1,200,000 to the project costs.
The existing power lines will also need to be adjusted for the new elevations.  The poles will be replaced as part of this work to avoid future impacts to the closed areas of the impoundment.  It is anticipated this closure method will take the least amount of time and have the smallest impact to operations on the site.</t>
  </si>
  <si>
    <t xml:space="preserve">LAC1 Emergency Capital Work Order 2020 </t>
  </si>
  <si>
    <t xml:space="preserve">This project is for transferring the CMF shop equipment assets that were moved to La Cygne to the La Cygne asset record. </t>
  </si>
  <si>
    <t>LaCygne Generating Station.  This project is in support of generation's fleetwide online remote monitoring initiative. Online, wireless sensors will be installed at the plants to assist in the gathering of Pdm data and help the company transition to a more condition based maintenance approach.  The data will feed into Pi and be used in the Monitoring &amp; Diagnostic center's APR software.</t>
  </si>
  <si>
    <t>LaCygne1.  The current cold end baskets have been in service since 2010 and are showing signs of degradation.  The baskets are starting to deteriorate and lose fin material into the duct work.  Once this process begins it accelerates rapidly causing inefficiencies in the air heater.</t>
  </si>
  <si>
    <t xml:space="preserve">LaCygne1.  This project is for the replacement of ~ 200 ft of the cold reheat piping on LAC 1.  The scope would begin with the attemperator area and terminate at the inlet header connections.  When the reheat inlet header was replaced in 2010, erosion was found on the ID of the upstream elbows on each end of the inlet header.  These areas were weld repaired to bring the piping back to minimum thickness requirements (2010 and 2020).  Subsequent follow up inspections on these elbows have been performed to verify the elbows are still above minimum wall thickness.  This process requires a significant amount of scaffold to gain access for UT measurements.   </t>
  </si>
  <si>
    <t>LaCygne1.  Work Order was used for boiler feed pump runner replacement/reauthorization.</t>
  </si>
  <si>
    <t>JEC3.  During the Spring 2018 overhaul of the HP and IP turbines the HP and IP turbine inner cylinders were found to have severe seal damage blade gaps on the 6th and 7th rows of the HP inner cylinder in combination with out of round conditions.  It was Siemens recommendation to replace all seals in the inner cylinders and to re round the inner cylinders as well.  Due to time constraints as well as customer costs, it was decided to reinstall the cylinders as originally planned without any seal replacements with the understanding that we would better plan and budget for the known issues upon another overhaul that would take place at a future date.</t>
  </si>
  <si>
    <t>LaCygne1 Baghouse B Compartment Replace.  This compartment was damaged due to a fire inside that required complete replacement of the compartment including the exterior walls, tube sheet, roof panels, bags and cages, and inlet damper.</t>
  </si>
  <si>
    <r>
      <t>L01551 - Salina</t>
    </r>
    <r>
      <rPr>
        <vertAlign val="superscript"/>
        <sz val="12"/>
        <rFont val="Times New Roman"/>
        <family val="1"/>
      </rPr>
      <t>4</t>
    </r>
  </si>
  <si>
    <r>
      <t>3102 Amortizable Land-pre 1971</t>
    </r>
    <r>
      <rPr>
        <vertAlign val="superscript"/>
        <sz val="12"/>
        <rFont val="Times New Roman"/>
        <family val="1"/>
      </rPr>
      <t>6</t>
    </r>
  </si>
  <si>
    <r>
      <t>3502 Amortizable Land-pre 1971</t>
    </r>
    <r>
      <rPr>
        <vertAlign val="superscript"/>
        <sz val="12"/>
        <rFont val="Times New Roman"/>
        <family val="1"/>
      </rPr>
      <t>6</t>
    </r>
  </si>
  <si>
    <r>
      <t>3602 Amortizable Land-pre 1971</t>
    </r>
    <r>
      <rPr>
        <vertAlign val="superscript"/>
        <sz val="12"/>
        <rFont val="Times New Roman"/>
        <family val="1"/>
      </rPr>
      <t>6</t>
    </r>
  </si>
  <si>
    <r>
      <t>3892 Amortizable Land-pre 1971</t>
    </r>
    <r>
      <rPr>
        <vertAlign val="superscript"/>
        <sz val="12"/>
        <rFont val="Times New Roman"/>
        <family val="1"/>
      </rPr>
      <t>6</t>
    </r>
  </si>
  <si>
    <r>
      <t>3902 LK9791 - Wichita GO</t>
    </r>
    <r>
      <rPr>
        <vertAlign val="superscript"/>
        <sz val="12"/>
        <rFont val="Times New Roman"/>
        <family val="1"/>
      </rPr>
      <t>4</t>
    </r>
  </si>
  <si>
    <t>To replace the Curator records management system at Wolf Creek with modern, supported toolset (Hyland Alfresco).  We are updating processes for increased accuracy and efficiency as we make this tool change.</t>
  </si>
  <si>
    <t xml:space="preserve">GEAM - Document Mangement (DOC) </t>
  </si>
  <si>
    <t>WR 2012 FMB 4.125% Due 2042</t>
  </si>
  <si>
    <t>WR 2013 FMB 4.10% Due 2043</t>
  </si>
  <si>
    <t>WR 2013 FMB 4.625% Due 2043</t>
  </si>
  <si>
    <t>WR 2015 FMB 3.25% Due 2025</t>
  </si>
  <si>
    <t>WR 2015 FMB 4.25% Due 2045</t>
  </si>
  <si>
    <t>WR 2016 FMB 2.55% Due 2026</t>
  </si>
  <si>
    <t>WR 2017 FMB 3.10% Due 2027</t>
  </si>
  <si>
    <t>WR 2019 FMB 3.25% Due 2049</t>
  </si>
  <si>
    <t>WR 2020 FMB 3.45% Due 2050</t>
  </si>
  <si>
    <t>WR 1994 St. Marys PCB Variable Due 2032</t>
  </si>
  <si>
    <t>WR 1994 Wamego PCB Variable Due 2032</t>
  </si>
  <si>
    <t>KGE 2007 FMB 6.53% Due 2037</t>
  </si>
  <si>
    <t>KGE 2008 FMB 6.64% Due 2038</t>
  </si>
  <si>
    <t>KGE 2014 FMB 4.30% Due 2044</t>
  </si>
  <si>
    <t>KGE 1994 La Cygne PCB Variable Due 2027</t>
  </si>
  <si>
    <t>KGE 2016 PCB 2.50% Due 2031</t>
  </si>
  <si>
    <t>KGE 1994  St. Marys PCB Variable Due 2032</t>
  </si>
  <si>
    <t>KGE 1994 Wamego PCB Variable Due 2032</t>
  </si>
  <si>
    <t>107000</t>
  </si>
  <si>
    <t>GRG0001001</t>
  </si>
  <si>
    <t>GECT3 Combustion Capital Spares 202</t>
  </si>
  <si>
    <t>GECT3 Combustion Capital Spares 2023 This project is to allocated the funds to purchase a set of liners and transitions for Gordon Evans combustion turbine unit 3.  The combustion components are the highest risk of failure that would make the unit unavailable.</t>
  </si>
  <si>
    <t>J19312201</t>
  </si>
  <si>
    <t>J19397401</t>
  </si>
  <si>
    <t>J1 Elevator Replacement This capital project provides funds for the replacement of the original J1 Elevator. Currently all 3 existing elevators are the original units installed when the plant was built. The constant need for repair shut downs (with their associated costs in delays during major outages) makes this project one of high priority.</t>
  </si>
  <si>
    <t>J19440101</t>
  </si>
  <si>
    <t xml:space="preserve">J2 Cooling Tower Ring Rebuild 2022 </t>
  </si>
  <si>
    <t>J2 Cooling Tower Ring Rebuild 2022  This project provides funds to replace the J2 cooling towers rings with a new FRP structure. This includes replacing all wooden and fiberglass components outwards from the concrete structure. This includes new support structure grid fill drift eliminators hot water deck louvers and wind vanes. This project includes replacing all 4 stairways with enclosed FRP stairways. This project does not include any funding for the replacement of any electrical or mechanical components (fans gearboxes motors).</t>
  </si>
  <si>
    <t>JRJ0017501</t>
  </si>
  <si>
    <t>J3 Turbine Major Rebuild 2022 This is a project provides the funds for the remanufacture of the J3 Turbine and associated equipment.</t>
  </si>
  <si>
    <t>LRL0001301</t>
  </si>
  <si>
    <t>J3 Turbine Major Rebuild 2022</t>
  </si>
  <si>
    <t>LEC0 Ash Landfill 847 Capping</t>
  </si>
  <si>
    <t>10100420</t>
  </si>
  <si>
    <t>LAC1 DCS Evergreen Update</t>
  </si>
  <si>
    <t>LAC1 Generator Bushing Repl</t>
  </si>
  <si>
    <t>J3 Controls Upgrade</t>
  </si>
  <si>
    <t>Many components of U1 Ovation DCS have become obsolete from Vendors.  Workstations and servers are still using Windows 7 and windows server 2008 software, which Microsoft has ended support in 2020 and they will no longer receive patches for security vulnerabilities identified in these products.  Ovation software version 3.3.1 is more than ten years old while the latest version 3.8 has enhanced security /alarm processing/logic handling features.  Most importantly it's compatible with mainstream operating systems like windows 10 and window server 2016, so that both Ovation DCS software and OS are actively supported by its respective vendor for technical support and patches.   
Workstations and servers from Dell have become obsolete as well, we had to re-build the machines many times and tried to find parts from other plants retired machines.  The support for key component of DCS network  - Cisco 2960 switch has ended from CIsco since 2019.    Ovation controller OCR400 being used at LaCygne has been discontiuned from Emerson.
Without this upgrade, Lacygne DCS will have to face high security risks/ parts shortage/reliability etc. issues, which will have a great impact on unit operation and maintenance.</t>
  </si>
  <si>
    <t>This project is for replacing the generator bushings, current transformers and associated isolation phase duct.  The unit experienced a failure near the neutral phase bushings that necessitates replacement of this equipment to return the unit to service.</t>
  </si>
  <si>
    <t>W000015000</t>
  </si>
  <si>
    <t>W000020548</t>
  </si>
  <si>
    <t>W000501545</t>
  </si>
  <si>
    <t>RF22 SU TRANSFORMER COMPONENT REPLA</t>
  </si>
  <si>
    <t>Transformer Replacement Plan - Budg</t>
  </si>
  <si>
    <t>Install Effluent Limit Guidelines compliance systems for the flue gas desulfurization systems at  Jeffrey Energy Center.  The Project scope includes modifications and upgrades as required to meet EPA Effluent Limit Guidelines (ELG) discharge requirements</t>
  </si>
  <si>
    <t>W000501809</t>
  </si>
  <si>
    <t>W000501973</t>
  </si>
  <si>
    <t>W000501974</t>
  </si>
  <si>
    <t>RCP Catridge Seal Assembly Replacem</t>
  </si>
  <si>
    <t>Cleaning, refurbishment and reassem</t>
  </si>
  <si>
    <t>RF25 Refurbishment of 4 Main Feedwa</t>
  </si>
  <si>
    <t>Cleaning, refurbishment and reassembly of the C Low Pressure Turbine, Generator Exciter, and four Turbine Stop and Control Valves. This also includes the replacement of the Generator Exciter bearing.</t>
  </si>
  <si>
    <t>Distribution GIS/Maximo SW 2020</t>
  </si>
  <si>
    <t>E-book and Oil Process App</t>
  </si>
  <si>
    <t>Hardware Asset Mgmt.</t>
  </si>
  <si>
    <t>IBM Maximo Licenses</t>
  </si>
  <si>
    <t>Maximo Anywhere Upgrade</t>
  </si>
  <si>
    <t>Ping Term License Software</t>
  </si>
  <si>
    <t>PowerBase Consolidation</t>
  </si>
  <si>
    <t>Purchase GC Software</t>
  </si>
  <si>
    <t>SailPoint Azure AD Integration</t>
  </si>
  <si>
    <t>Software Asset Mgmt.</t>
  </si>
  <si>
    <t>SP Base Infrastructure Enhancements</t>
  </si>
  <si>
    <t>T and D Maximo Performance</t>
  </si>
  <si>
    <t xml:space="preserve">     M8170A - SOFTWARE FOR SPP ENERGY MARKET 02</t>
  </si>
  <si>
    <t xml:space="preserve">     M8170D - HYPERION BUSINESS INTELL. PLATFORM SOFTWARE 02</t>
  </si>
  <si>
    <t>Clsd Loop Combstn SW - L2
Severable per Lance Smith.  4/2013  JLC</t>
  </si>
  <si>
    <t>Provide software applications to support observations and self assessments.</t>
  </si>
  <si>
    <t xml:space="preserve">Cornerstone Powerplan-Capital_x000D_
</t>
  </si>
  <si>
    <t>Application Modernization</t>
  </si>
  <si>
    <t>Capital SharePoint Consolidation</t>
  </si>
  <si>
    <t>Windows 10 Migration Capital</t>
  </si>
  <si>
    <t>MicroSoft Office 365</t>
  </si>
  <si>
    <t>Ks Rate Change Phase In</t>
  </si>
  <si>
    <t>ADIT related to the phase in of KS rate change</t>
  </si>
  <si>
    <t>R/L Pay to Retail Customers</t>
  </si>
  <si>
    <t>ADIT related to R/L Pay to Retail Customers</t>
  </si>
  <si>
    <t>R/L TFR ER 22</t>
  </si>
  <si>
    <t>ADIT related to the Tax porton of the TFR ER 22 adjustment</t>
  </si>
  <si>
    <t>Gain or Loss on Land R/L</t>
  </si>
  <si>
    <t>Ad Valorem Taxes</t>
  </si>
  <si>
    <t>1980s vintages - part of Unicap.</t>
  </si>
  <si>
    <t>Capitalized Interest To</t>
  </si>
  <si>
    <t>Increase in basis due to AFUDC interest capitalized for tax.,</t>
  </si>
  <si>
    <t>Capitalized RSU</t>
  </si>
  <si>
    <t>Reduction in basis for RSUs capitalized by books; tax deducts W-2 amounts.</t>
  </si>
  <si>
    <t>CC G31 Software</t>
  </si>
  <si>
    <t>Capitalize purchased software expensed by books.</t>
  </si>
  <si>
    <t>DEF EDIT</t>
  </si>
  <si>
    <t>Excess DIT amortized by PowerTax</t>
  </si>
  <si>
    <t>Env. Mitigation</t>
  </si>
  <si>
    <t>Costs capitalized for books as part of a legal settlement with the EPA; nondeductible for tax.</t>
  </si>
  <si>
    <t>HDCP Barrier Removal</t>
  </si>
  <si>
    <t>Costs capitalized for handicap barrier removal expense by books.</t>
  </si>
  <si>
    <t>Ice Strm Rep Prior Yrs</t>
  </si>
  <si>
    <t>JEC 3 Pollution</t>
  </si>
  <si>
    <t>1983 steam production JEC unit 3</t>
  </si>
  <si>
    <t>KS Retail Sales Tax</t>
  </si>
  <si>
    <t>KS Use Tax</t>
  </si>
  <si>
    <t>Local Retail Sales Tax</t>
  </si>
  <si>
    <t>Method Life</t>
  </si>
  <si>
    <t>Book/tax depreication difference due to depreciation methods/lives.</t>
  </si>
  <si>
    <t>MKEC Acquisition Adj</t>
  </si>
  <si>
    <t>Other</t>
  </si>
  <si>
    <t>Payroll Taxes</t>
  </si>
  <si>
    <t>Prior Carryforward</t>
  </si>
  <si>
    <t>R&amp;E 174</t>
  </si>
  <si>
    <t>R&amp;D costs capitalized by books allowed to be duducted currently for tax.</t>
  </si>
  <si>
    <t>RE Credit</t>
  </si>
  <si>
    <t>Reduction in basis for taking section 41 R&amp;D credit.</t>
  </si>
  <si>
    <t>Reimbursemnts</t>
  </si>
  <si>
    <t>CIAC due to damaged property by individuals and propety moves by governmental entities.</t>
  </si>
  <si>
    <t>Reimbursemnts 108.5</t>
  </si>
  <si>
    <t>Reduction in basis for repairs capitalized by books (prior to 2014 tangible property regulatoins).</t>
  </si>
  <si>
    <t>Repairs</t>
  </si>
  <si>
    <t>Reduction in basis for repairs capitalized by books (after 2014 tangible property regulatoins).</t>
  </si>
  <si>
    <t>Repairs 481a</t>
  </si>
  <si>
    <t>481a adjustment for 2014 tanigible property regulations</t>
  </si>
  <si>
    <t>Repairs 481a Bonus</t>
  </si>
  <si>
    <t>481a adjustment for 2014 tanigible property regulations related to property that utilized accelerated tax depreciations</t>
  </si>
  <si>
    <t>Repairs 481a Ret</t>
  </si>
  <si>
    <t>481a adjustment for 2014 tanigible property regulations related to property retirements.</t>
  </si>
  <si>
    <t>Repairs - CPI Reversal</t>
  </si>
  <si>
    <t>Adjustment to basis for AFDUC interest on repairs capitalized by books (after 2014 tangible property regulations).</t>
  </si>
  <si>
    <t>Sec 263(a) ADJ.</t>
  </si>
  <si>
    <t>Capitalization of costs directly allocable to tangible property due to unicap requirements.</t>
  </si>
  <si>
    <t>Sec 481(a) Adj (263a)</t>
  </si>
  <si>
    <t>481a adjustment for capitalization of costs directly allocable to tangible property due to unicap requirements.</t>
  </si>
  <si>
    <t>Software Development</t>
  </si>
  <si>
    <t>Reduction in basis for software development allowed to be duducted currently for tax.</t>
  </si>
  <si>
    <t>Storm Cost</t>
  </si>
  <si>
    <t>Reduction in basis for storm repairs allowed to be deducted currently for tax.</t>
  </si>
  <si>
    <t>R/A KEEIA Filing</t>
  </si>
  <si>
    <t>ADIT related to R/A Keeia Filing</t>
  </si>
  <si>
    <t>R/A Rec from Wholesale Customers</t>
  </si>
  <si>
    <t>ADIT related to R/A Rec WholeSale Customers</t>
  </si>
  <si>
    <t>Cap Software Expensed in CWIP</t>
  </si>
  <si>
    <t>ADIT related to Software in CWIP expensed for tax</t>
  </si>
  <si>
    <t>Capitalized EPRI Fees</t>
  </si>
  <si>
    <t xml:space="preserve">ADIT related to capitalized EPRI Fees related to R&amp;E </t>
  </si>
  <si>
    <t>EPRI Fees Amortization</t>
  </si>
  <si>
    <t>ADIT related to the book amortization of EPRI Fees related to R&amp;E</t>
  </si>
  <si>
    <t>Book Depreciation Diff</t>
  </si>
  <si>
    <t>ADIT related to the Depr Diff 8/01-3/02 R/A</t>
  </si>
  <si>
    <t>Def Gain WCNOC IC Trans</t>
  </si>
  <si>
    <t>ADIT related to the deferred gain on WCNOC IC Trans</t>
  </si>
  <si>
    <t>KS Rate Change Phase in</t>
  </si>
  <si>
    <t>R/L Pay to Retail</t>
  </si>
  <si>
    <t>Non-NOL Account 190 Excess Deferred State FBOS</t>
  </si>
  <si>
    <t>Asset Purchase Adj</t>
  </si>
  <si>
    <t>2015 purchase of Litchfield-Neosho transmission line: books recorded at original cost, tax recorded at net value</t>
  </si>
  <si>
    <t>Capitalized Interest to</t>
  </si>
  <si>
    <t>Design Basis Adj</t>
  </si>
  <si>
    <t>1990s Nuc Prod, Steam Prod, Distribution</t>
  </si>
  <si>
    <t>Flour Daniel</t>
  </si>
  <si>
    <t>1992 Settlement by Flour Daniels to WCNOC; tax treatment was to reduce basis in WCNOC.</t>
  </si>
  <si>
    <t>JE 88 PRULEASE</t>
  </si>
  <si>
    <t>1980s vintages</t>
  </si>
  <si>
    <t>Method/Life</t>
  </si>
  <si>
    <t>RAR Basis Adj</t>
  </si>
  <si>
    <t>Mainly 1985 WCNOC asset</t>
  </si>
  <si>
    <t>Redetermine Nuke Fuel</t>
  </si>
  <si>
    <t>1990s Nuc Fuel</t>
  </si>
  <si>
    <t>Sec, 263(a) ADJ</t>
  </si>
  <si>
    <t>Sec. 481(a) ADJ (263a)</t>
  </si>
  <si>
    <t>Storm Costs</t>
  </si>
  <si>
    <t>R/A Rec From WholeSale Customers</t>
  </si>
  <si>
    <t>Book Depreication Diff R/A</t>
  </si>
  <si>
    <t>Project to raise final cover capping and construction quality assurance for parts of cells 3 and 4 of LEC Landfill 847 in order to reduce the amount of exposed ash in the cells of the landfill. This project following the 2020 project installing the letdowns on the north side of the landfill will raise cells 3 outer berms higher than working elevation of CCR boundary and significantly reduce the amount of contact water. Engineering to figure out storm water drainage paths will be included as well.  Grading and hydroseeding to be done along the covered areas. Cell 4 will be be raised with liners to meet new CCR requirements.</t>
  </si>
  <si>
    <t>This capital project provides funds for the replacement of the original J2 Elevator. Currently all 3 existing elevators are the original units installed when the plant was built. The constant need for repair shut downs (with their associated costs in delays during major outages) makes this project one of high priority.</t>
  </si>
  <si>
    <t>J1 Elevator Replacement</t>
  </si>
  <si>
    <t>J2 Elevator Replacement</t>
  </si>
  <si>
    <t>Replace the existing Start-up Transformer – Wolf Creek asset XMR01 with a similar transformer of the same MVA rating, new fire suppression piping and nozzles and new fire detection system, upgrade existing electromechanical differential and overcurrent relays with new digital relays, upgrade trip scheme from a 1 out of 1 logic to a 2 out of 2 failsafe logic.  Replace the existing rock in the oil containment berm with new.</t>
  </si>
  <si>
    <t>Wolf Creek is systematically replacing large oil filled transformers to address aging concerns and implement design improvements in support of long term station operation. This is based on the Long Term Transformer Replacement Plan approved by the Plant Health Committee. The currently installed transformers are approaching the end of their 40 year life and need to be replaced to support the continued operation at Wolf Creek. A project plan has been created to organize the large transformer replacements.</t>
  </si>
  <si>
    <t>Unit 3 DCS (Distributed Control System) will be replaced.  This is the control system for equipment (controls the start/stop of pumps, opening/closing valves, etc.)</t>
  </si>
  <si>
    <t>J0 ELG Compliance (Effluent Limitation Guidelines)</t>
  </si>
  <si>
    <t>RF25 Turbine Work Capitalization  Refurbishment of 4 Main Feedwater Regulating Valves and 2 Main Feedwater Isolation Valves. Turbine Control Valve 1 and 3 and Turbine Stop Valve 1 and 2 disassembly, inspection, cleaning, refurbishment, and reassembly. Main Generator disassembly, inspection, cleaning, refurbishment, and reassembly.</t>
  </si>
  <si>
    <t>Installation of upgraded Southwest Delay Fencing in order to provide a credited delay boundary inside the PA. BREs 5 &amp; 7 Replacement / relocation in order to provide improved site lines, interlocking fields of fire and mutual support at both the North and Southwest corner of the existing PA with new 30' blast resistant BREs</t>
  </si>
  <si>
    <t>SECURITY PHASE II SYSTEM---CQ DIS</t>
  </si>
  <si>
    <t xml:space="preserve">   To determine what is entered for Adjusted 216.1 Subsidiary Retained Earnings, EKC shall take EKC's Account</t>
  </si>
  <si>
    <t xml:space="preserve">216.1 Balance (EKC.112.12.c) and subtract EKS's Retained Earnings (EKS.112.11.c).  If the resulting amount is </t>
  </si>
  <si>
    <t>positive, enter such amount in the formula.  If the resulting amount is negative, enter zero.</t>
  </si>
  <si>
    <t>- Removed all COLI expense from Prepaid account, from both beginning and ending balances.</t>
  </si>
  <si>
    <t>Net Current - Year Capacity Revenue Requirement</t>
  </si>
  <si>
    <t>RCP Cartridge seals were replaced during RF 2024 for B,C,D Pumps.  These seals are pump seals that provide a RCS fluid bearer to Containment atmosphere.  The included installing a #1 Seal Runner, #1 Seal Ring, Cartridge Seal Assembly (#2 Seal Housing is a ASME Section III, Class 1 Pressure Boundary Item).  This evolution included #1,#2,#3 seal assemblies.</t>
  </si>
  <si>
    <t>Period Ending 05/31/2024</t>
  </si>
  <si>
    <r>
      <t xml:space="preserve">      Less:  Adjusted 216.1 Subsidiary Retained Earnings</t>
    </r>
    <r>
      <rPr>
        <vertAlign val="superscript"/>
        <sz val="12"/>
        <rFont val="Times New Roman"/>
        <family val="1"/>
      </rPr>
      <t>6</t>
    </r>
  </si>
  <si>
    <t>For Contract Year Beginning June 1, 2024, Based on 2023 Data</t>
  </si>
  <si>
    <t xml:space="preserve">2   The 2023 Form 1 amount for Southwest Power Pool is </t>
  </si>
  <si>
    <t xml:space="preserve">3   The 2023 Form 1 amount for Southwest Power Pool (AD) is </t>
  </si>
  <si>
    <t xml:space="preserve">4   The 2023 Form 1 amount for Southwest Power Pool is </t>
  </si>
  <si>
    <t xml:space="preserve">5   The 2023 Form 1 amount for Southwest Power Pool (AD) is </t>
  </si>
  <si>
    <t>WR 2023 FMB 5.70% Due 2053</t>
  </si>
  <si>
    <t>WR 2023 FMB 5.90% Due 2033</t>
  </si>
  <si>
    <t>(20)</t>
  </si>
  <si>
    <t>at T=2023</t>
  </si>
  <si>
    <t>Lenel Software</t>
  </si>
  <si>
    <t>ESRI Schneider ELA Liceneses</t>
  </si>
  <si>
    <t>GEAM Work Management Supply</t>
  </si>
  <si>
    <t>ARCOS License Agreement</t>
  </si>
  <si>
    <t>Service Now Licenses</t>
  </si>
  <si>
    <t>SharePoint Modernization</t>
  </si>
  <si>
    <t>ADMX FLIXR</t>
  </si>
  <si>
    <t>JEC Claroty Implementation</t>
  </si>
  <si>
    <t>GSI DXI Qtrly Upgrades</t>
  </si>
  <si>
    <t>ESRI GIS Portal 10.8 Upgrade</t>
  </si>
  <si>
    <t>WC ACI Application RePlatform</t>
  </si>
  <si>
    <t>HPS</t>
  </si>
  <si>
    <t>Event Management</t>
  </si>
  <si>
    <t>Start Service</t>
  </si>
  <si>
    <t>Distribution Optimization</t>
  </si>
  <si>
    <t>Radio Frequency Anterix Spectrum</t>
  </si>
  <si>
    <t>Esource Trove Professional Services</t>
  </si>
  <si>
    <t>PDC Camera Software</t>
  </si>
  <si>
    <t>Inj and Dmges Bal Fwd</t>
  </si>
  <si>
    <t>Black box recovery in GFR per settlement agreement in Docket No. ER22-1657 and ER23-1762. $2.8M to be included annually through 2028 (6-year amortization period).</t>
  </si>
  <si>
    <t>Refunds and Surcharges relating to resolution of issues raised in the 2023 Annual Update - Informal Challenge Letter, October 13, 2023 and data requests.</t>
  </si>
  <si>
    <t>Issue 1a - Wrksht A (EKC) &amp; Wrksht B (EKS)</t>
  </si>
  <si>
    <t>Issue 2a - Item 3, Rate Base</t>
  </si>
  <si>
    <t>Issue 3a - Wrksht A (EKC) &amp; Wrksht B (EKS)</t>
  </si>
  <si>
    <t>- Move $3,501,385.25 from Plant Related to Labor Related on Worksheet A (EKC)</t>
  </si>
  <si>
    <t xml:space="preserve">- Reserves should be allocated based on the underlying expense allocator and that ADIT should use that same allocator.  Other Reserves and Acct 190:  Software Development &amp; CC G31 Software.  </t>
  </si>
  <si>
    <t xml:space="preserve">- Reserves should be allocated based on the underlying expense allocator and that ADIT should use that same allocator.  Other Reserves and Acct 190:  Capitalized Software in CWIP.  </t>
  </si>
  <si>
    <t>- Move $13,383.40 from Plant Related to Labor Related on Worksheet B (EKS)</t>
  </si>
  <si>
    <t>- Move $694,215.06 from Plant Related to Labor Related on Worksheet A (EKC)</t>
  </si>
  <si>
    <t>Issue 1b - Wrksht A (EKC)</t>
  </si>
  <si>
    <t>- Added $6,479,305.27 to account 228200 Inj and Dmges Bal Fwd (EKC). Account was erronously omitted in filing.</t>
  </si>
  <si>
    <t>Issue 4a - Wrksht O (EKC) &amp; Form 1 Inputs</t>
  </si>
  <si>
    <t>- On worksheet O, reduced current year amortization by $1,390,472.79 and current year retirements by $13,808,007.46.</t>
  </si>
  <si>
    <t>- On Form 1 Inputs, reduced both Total General Plant and Total Electric Plant in Service by $13,808,007.46 (EKC). Reduced both General Electric Plant in Service and Total Accumulated Depreciation by $33,636.25 (EKC). Adjusted General Plant by increasing $33,636.25 and reducing by $1,390,472.79 (EKC).</t>
  </si>
  <si>
    <t>Issue 5a - Item 4, Dem Rel Exp &amp; Form 1 Inputs</t>
  </si>
  <si>
    <t>--Remove $76,226.31 (EKC) recorded to acct 923 related to Wind RFP costs that should have been charged to acct 183. Which flow through to Item 4, Dm Rel Exp.</t>
  </si>
  <si>
    <t>- On Form 1 Inputs, reduced both Outside services employed and Total A&amp;G related O&amp;M by $2,078.19 (EKC) and $6,370.56 (EKS). Which flow through to Item 4, Dm Rel Exp.</t>
  </si>
  <si>
    <t>Period Ending 05/31/2025</t>
  </si>
  <si>
    <t>FAS 106/112 NQ Reg</t>
  </si>
  <si>
    <t>ADIT related to the Regulatory accounts for FAS 106/112 NQ pension amounts</t>
  </si>
  <si>
    <t>FAS 106/112 OPEB Reg</t>
  </si>
  <si>
    <t xml:space="preserve">ADIT related to the Regulatory accounts for FAS 106/112 OPEB </t>
  </si>
  <si>
    <t>Sick Leave Reg</t>
  </si>
  <si>
    <t>ADIT related to the Regulatory accounts for Sick Leave</t>
  </si>
  <si>
    <t>KS COLI Credits</t>
  </si>
  <si>
    <t>ADIT related to the R/L for KS COLI Credits</t>
  </si>
  <si>
    <t>KS Storm Reserve</t>
  </si>
  <si>
    <t>ADIT related to the R/L for KS Storm Reserve</t>
  </si>
  <si>
    <t>R/L Developer Costs</t>
  </si>
  <si>
    <t>ADIT related to R/L for Developer Costs</t>
  </si>
  <si>
    <t>VA - KS HPIP Credit Deferral</t>
  </si>
  <si>
    <t>V/A related to KS HPIP credits</t>
  </si>
  <si>
    <t>Persimmon Crk A/S</t>
  </si>
  <si>
    <t>R&amp;D Book</t>
  </si>
  <si>
    <t>R&amp;D Book Software</t>
  </si>
  <si>
    <t xml:space="preserve">R&amp;D TO </t>
  </si>
  <si>
    <t>Pension Reg</t>
  </si>
  <si>
    <t>VA KS HPIP Credit Deferral</t>
  </si>
  <si>
    <t>WCNOC SCP Reg</t>
  </si>
  <si>
    <t xml:space="preserve">ADIT related to regulatory accounts for WCNOC salary cont plan.  </t>
  </si>
  <si>
    <t>HRH0000701</t>
  </si>
  <si>
    <t>J19393201</t>
  </si>
  <si>
    <t>JRJ0019201</t>
  </si>
  <si>
    <t>JRJ0020001</t>
  </si>
  <si>
    <t>JRJ0024201</t>
  </si>
  <si>
    <t>HCT0 Fuel Storage Tank This project</t>
  </si>
  <si>
    <t xml:space="preserve">J1 Cooling Tower Ring Rebuild 2023 </t>
  </si>
  <si>
    <t xml:space="preserve"> J2 Air Heater Basket Replacement 2</t>
  </si>
  <si>
    <t>J2 IP Rotor Swap 2023</t>
  </si>
  <si>
    <t xml:space="preserve">J2 HP Guide Blade Carrier Purchase </t>
  </si>
  <si>
    <t>HCT0 Fuel Storage Tank This project includes the installation of a 2.6 million gallon double walled diesel fuel storage tank with new fuel unloading station. The site currently has a 900000 gallon tank that allows for roughly 31 hrs of runtime at max dem</t>
  </si>
  <si>
    <t>J1 Cooling Tower Ring Rebuild 2023 This project provides funds to replace the J1 cooling towers rings with a new FRP structure. This includes replacing all wooden and fiberglass components outwards from the concrete structure. This includes all new suppo</t>
  </si>
  <si>
    <t xml:space="preserve"> J2 Air Heater Basket Replacement 2024 Replace hot and cold end air heater baskets and element sheets in JEC Unit 2 both air heaters. We will also replace hot end seals.</t>
  </si>
  <si>
    <t>J2 HP Guide Blade Carrier Purchase   CAP Spare   2023 This project is for the purchase of a new HP guide blade carrier for JEC Unit 2. Previous history of the units indicates that as the HP and IP inner cases have aged they distort and require rerounding</t>
  </si>
  <si>
    <t>10100540</t>
  </si>
  <si>
    <t>10100705</t>
  </si>
  <si>
    <t>10100773</t>
  </si>
  <si>
    <t>10100863</t>
  </si>
  <si>
    <t>W000020384</t>
  </si>
  <si>
    <t>W000020633</t>
  </si>
  <si>
    <t>W000501679</t>
  </si>
  <si>
    <t>W000501815</t>
  </si>
  <si>
    <t>W000501823</t>
  </si>
  <si>
    <t>W000501976</t>
  </si>
  <si>
    <t>W000502025</t>
  </si>
  <si>
    <t>LACO Conveyor Load Zones Replace</t>
  </si>
  <si>
    <t>LAC2 L-0 LP Turb Blade Replacement</t>
  </si>
  <si>
    <t>This project is for the replacement of the last stage blades (buckets) on both ends of the LP turbines (LPA and LPB), four total rows of blades.  Inspections at the OEM shop in the spring of 2022 revealed cracks in the pins that hold the blades to the rotor forging.  Pins with the most cracks were replaced but outage schedule did not allow sufficient time to replace all the pins.  The L-0 blades are also showing signs of erosion on the leading edge that the OEM has recommended replacing prior to the next scheduled turbine outage in 2026.  These blades will be an in-kind replacement.</t>
  </si>
  <si>
    <t>LAC2 Mist Eliminator Trays Repl 202</t>
  </si>
  <si>
    <t>Project to replace the demister trays in unit 2 absorber.  These trays are approaching 10 years old and are at end of life.  The unit 1 trays that are a similar age have started to break apart allowing the small pieces of fiberglass to enter the scrubber slurry mix  which then plugs the PH monitoring probes requiring nearly daily cleaning.  Labor estimates are based on Iatan's recent experience with replacing their demister trays.</t>
  </si>
  <si>
    <t>LAC1 Boiler Floor Replacement 2023</t>
  </si>
  <si>
    <t>The boiler floor for La Cygne 1 is in need of replacement to reduce tube leaks and minimize maintenance expenses going forward.  The existing floor is over 20 years old and showing signs of being at end of life.  The pin studs and refractory that help insulate the floor tubes from ash erosion and keep the liquid ash flowing to the slag taps is in very poor condition.  This leads to thinning of the floor tubes and eventually tube leaks.  Floor tube leaks have been increasing over the last 5 years with 3 forced outages YTD in 2022 due to floor tube leaks.  Due to the pin studs it is difficult to get accurate UT measurements, however there are many areas where the tubing measures less than 50% minimum wall.  
The lack of full length studs to secure the refractory in place allows the liquified slag to cool as it approaches the furnace floor slag taps.  This cooling makes it difficult to keep the slag taps open and flowing at low loads.  The unit is currently operating at a minimum load of 450 MW's for this reason.  Previously when the floor studs and refractory were in better condition the unit operated with a minimum load of 325 MW's.  The floor could be high pressure washed and re-studded with new refractory installed to address this issue.  It would cost ~ $1.8M to complete this work.  However, the issue with large areas of the tubing getting thin would still be present and make it difficult to install new studs without creating many tube leaks.
Another option considered for the floor was to remove all of the refractory and pin studs and weld overlay the tubes.  The cost to perform this option is in excess of $3M and would be an O&amp;M expense.  Due to the thinning of the existing tubes, this option is not practical due to the high likelihood of burning thru the tubes during the welding process.</t>
  </si>
  <si>
    <t>J2 Reheat Pendant ReplacementThe scope of this project will be to replace all 142 inlet Reheat Pendants all 143 outlet Reheat Pendants both of their water cooled spacer tubes from the upper dead air space to the penthouse and the rooftubes in the immediate area.  The majority of the existing high crown seal boxes will be saved but new chevrons and pans will be installed as part of this project.  The new pendants will be supplied in 2 sections front pendants and rear pendants.  The cut lines of each circuit will be in the penthouse the inlet side will start at the original upper field weld to replace the DWM which has not been replaced for the life of the unit and the outlet side stopping short of the new DWM installed as part of the header replacements.  The inlet side cut line is significantly higher than the outlet due to the tube bend locations being directly adjacent to the DMW.  The elevation of this cut line will allow us to ensure that we keep a minimum of 3 tube diameters between welds and other tube manipulations that can affect flow in the tube.  The pendants will be brought to elevation external to the boiler then brought in in two sections.  The sections will be rigged into place through the roofline and then welded together.  All high wear sections will be affixed with shields to help reduce maintenance in the pertinent areas for the remaining life of the unit.  The roof tubes will be supplied with peg fin attached and the cut line will range from the front side of the Rh pendants to behind the outlet pendants.  Tube will be supplied loose with new support hardware to be attached in the field.  The reamining casing and other components will be supplied loose for field installation.</t>
  </si>
  <si>
    <t>MAIN TRANSFOMERS (XMA01A/B/C/D) REP</t>
  </si>
  <si>
    <t>PLANT COMPUTER DIGITAL UPGRADE</t>
  </si>
  <si>
    <t>CAPITAL PUMP AND MOTOR REFURBISHMENT</t>
  </si>
  <si>
    <t>Plant computer modifications for RJ</t>
  </si>
  <si>
    <t>Adjust Single Ring block perimeter.</t>
  </si>
  <si>
    <t>Adjust Single Ring block perimeter. Connect the ESW Protective Area (PA) to the existing Plant PA.</t>
  </si>
  <si>
    <t>Risk Informed PMs</t>
  </si>
  <si>
    <t xml:space="preserve">Risk Informed PRA activities supporting:  Surveillance Test Risk Informed Documented Evaluations STRIDE, Risk Informed Completion Times RICT, and 10 CFR 50.69 SSC Categorization. </t>
  </si>
  <si>
    <t xml:space="preserve">Install vehicle barrier system </t>
  </si>
  <si>
    <t>Install vehicle barrier system on west and south sides of plant with potential of flood calc, fuel oil and nitrogen skin mods pending further investigation.</t>
  </si>
  <si>
    <t xml:space="preserve">This project is for replacing the load zones on conveyors 6/206 and 203.  The existing load zones are causing a significant amount of futgitive dust due to their age and deteriorated condition. </t>
  </si>
  <si>
    <t>J2 IP Rotor Swap 2023. This project replaced the IP rotor in J2 with the recently remanufacted spare IP rotor. The remanufactured IP rotor work included blade row replacements and seal replacements.</t>
  </si>
  <si>
    <t>J2 Reheat Pendant Replacement project</t>
  </si>
  <si>
    <t>Replacement of aging large power transformers has been an industry initiative since SOER 10-1. Life-cycle practices for oil-cooled power transformers above 10 MVA are established by the SOER 10-1. The existing Main Generator Step-Up (GSU) Transformers XMA01A, XMA01B, and XMA01C are designed and manufactured by Westinghouse as original plant equipment built in 1979, placing them in the category of aging large power transformers. Therefore, Long Term Asset Management (LTAM) 17-0007 was established for the systematic replacement of the Wolf Creek large oil filled transformers</t>
  </si>
  <si>
    <t>Wolf Creek’s plant computer, known as the Nuclear Plant Information System (NPIS) monitors various plant parameters and presents the information to the Operators, and other plant personnel, concerning the status and operation of the plant.  The NPIS also provides additional functions of alarming, archiving data, performing calculations, logging and printing report hardcopies.  The NPIS includes the computational and display functions for the Emergency Response Facility Information System (ERFIS), the Emergency Response Data System (ERDS), and the Safety Parameter Display System (SPDS). NPIS was last replaced in 2007.  In 2021, the Plant Health Committee (PHC) authorized the replacement of the NPIS.  The replacement is driven by obsolescence and degrading reliability.</t>
  </si>
  <si>
    <t xml:space="preserve">Large Pumps and Motors are periodically remanufactured to like new condition at Wolf Creek. The frequency of these remanufacturing efforts is driven by a preventative maintenance plan setup for each pump/motor and that PM is based on EPRI guidance. </t>
  </si>
  <si>
    <t>Removal of current year EPRI dues for 2023 amounting to $353,530, no interest owed.</t>
  </si>
  <si>
    <t>Removal of current year COLI for 2023 amounting to $71,959, no interest owed.</t>
  </si>
  <si>
    <t>Issue 5c - Item 4, Dem Rel Exp &amp; Form 1 Inputs</t>
  </si>
  <si>
    <t>Accum Prov Inj &amp; Damages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</si>
</sst>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_(* #,##0.0_);_(* \(#,##0.0\);_(* &quot;-&quot;??_);_(@_)"/>
    <numFmt numFmtId="166" formatCode="_(* #,##0_);_(* \(#,##0\);_(* &quot;-&quot;??_);_(@_)"/>
    <numFmt numFmtId="167" formatCode="0.00_);\(0.00\)"/>
    <numFmt numFmtId="168" formatCode="0.0000%"/>
    <numFmt numFmtId="169" formatCode="&quot;$&quot;#,##0"/>
    <numFmt numFmtId="170" formatCode="_(&quot;$&quot;* #,##0_);_(&quot;$&quot;* \(#,##0\);_(&quot;$&quot;* &quot;-&quot;??_);_(@_)"/>
    <numFmt numFmtId="171" formatCode="m/d/yy"/>
    <numFmt numFmtId="172" formatCode="0.000%"/>
    <numFmt numFmtId="173" formatCode="#,##0.0"/>
    <numFmt numFmtId="174" formatCode="#,##0.00000"/>
    <numFmt numFmtId="175" formatCode="#,##0.0000_);\(#,##0.0000\)"/>
    <numFmt numFmtId="176" formatCode="0.0000"/>
    <numFmt numFmtId="177" formatCode="0.000000_);\(0.000000\)"/>
    <numFmt numFmtId="178" formatCode="m/d/yy\ h:mm"/>
    <numFmt numFmtId="179" formatCode="dd\-mmm\-yy"/>
    <numFmt numFmtId="180" formatCode="#,##0.000000_);\(#,##0.000000\)"/>
    <numFmt numFmtId="181" formatCode="_(* #,##0.0000_);_(* \(#,##0.0000\);_(* &quot;-&quot;??_);_(@_)"/>
    <numFmt numFmtId="182" formatCode="mm/dd/yyyy"/>
    <numFmt numFmtId="183" formatCode="0.00000"/>
    <numFmt numFmtId="184" formatCode="0.0000000"/>
    <numFmt numFmtId="185" formatCode="_(* #,##0.00000_);_(* \(#,##0.00000\);_(* &quot;-&quot;??_);_(@_)"/>
    <numFmt numFmtId="186" formatCode="#,##0.00000_);\(#,##0.00000\)"/>
    <numFmt numFmtId="187" formatCode="_(* #,##0.00_);_(* \(#,##0.00\);_(* &quot;-&quot;_);_(@_)"/>
    <numFmt numFmtId="188" formatCode="General_)"/>
    <numFmt numFmtId="189" formatCode="#,##0;\(#,##0\);\ \-"/>
  </numFmts>
  <fonts count="110">
    <font>
      <sz val="10"/>
      <name val="Arial"/>
    </font>
    <font>
      <sz val="10"/>
      <name val="Arial"/>
      <family val="2"/>
    </font>
    <font>
      <sz val="12"/>
      <name val="Arial"/>
      <family val="2"/>
    </font>
    <font>
      <sz val="10"/>
      <name val="Times New Roman"/>
      <family val="1"/>
    </font>
    <font>
      <sz val="12"/>
      <name val="Times New Roman"/>
      <family val="1"/>
    </font>
    <font>
      <b/>
      <sz val="12"/>
      <name val="Times New Roman"/>
      <family val="1"/>
    </font>
    <font>
      <u/>
      <sz val="10"/>
      <name val="Times New Roman"/>
      <family val="1"/>
    </font>
    <font>
      <b/>
      <sz val="10"/>
      <name val="Times New Roman"/>
      <family val="1"/>
    </font>
    <font>
      <b/>
      <sz val="14"/>
      <name val="Times New Roman"/>
      <family val="1"/>
    </font>
    <font>
      <sz val="12"/>
      <name val="Arial"/>
      <family val="2"/>
    </font>
    <font>
      <vertAlign val="superscript"/>
      <sz val="12"/>
      <name val="Times New Roman"/>
      <family val="1"/>
    </font>
    <font>
      <sz val="8"/>
      <name val="Arial"/>
      <family val="2"/>
    </font>
    <font>
      <u/>
      <sz val="12"/>
      <name val="Times New Roman"/>
      <family val="1"/>
    </font>
    <font>
      <b/>
      <sz val="14"/>
      <name val="Arial"/>
      <family val="2"/>
    </font>
    <font>
      <b/>
      <i/>
      <sz val="10"/>
      <name val="Times New Roman"/>
      <family val="1"/>
    </font>
    <font>
      <i/>
      <sz val="10"/>
      <name val="Times New Roman"/>
      <family val="1"/>
    </font>
    <font>
      <sz val="14"/>
      <name val="Arial"/>
      <family val="2"/>
    </font>
    <font>
      <u/>
      <vertAlign val="superscript"/>
      <sz val="12"/>
      <name val="Times New Roman"/>
      <family val="1"/>
    </font>
    <font>
      <sz val="10"/>
      <name val="Arial"/>
      <family val="2"/>
    </font>
    <font>
      <b/>
      <i/>
      <sz val="10"/>
      <name val="Arial"/>
      <family val="2"/>
    </font>
    <font>
      <b/>
      <sz val="10"/>
      <name val="Arial"/>
      <family val="2"/>
    </font>
    <font>
      <sz val="10"/>
      <name val="Arial"/>
      <family val="2"/>
    </font>
    <font>
      <u/>
      <sz val="10"/>
      <name val="Arial"/>
      <family val="2"/>
    </font>
    <font>
      <sz val="9"/>
      <name val="Arial"/>
      <family val="2"/>
    </font>
    <font>
      <b/>
      <sz val="14"/>
      <name val="Arial"/>
      <family val="2"/>
    </font>
    <font>
      <b/>
      <sz val="9"/>
      <name val="Arial"/>
      <family val="2"/>
    </font>
    <font>
      <b/>
      <sz val="12"/>
      <name val="Arial"/>
      <family val="2"/>
    </font>
    <font>
      <u/>
      <sz val="9"/>
      <name val="Arial"/>
      <family val="2"/>
    </font>
    <font>
      <sz val="9"/>
      <name val="Arial MT"/>
    </font>
    <font>
      <sz val="11"/>
      <name val="Arial"/>
      <family val="2"/>
    </font>
    <font>
      <b/>
      <u/>
      <sz val="9"/>
      <name val="Arial"/>
      <family val="2"/>
    </font>
    <font>
      <i/>
      <sz val="9"/>
      <name val="Arial"/>
      <family val="2"/>
    </font>
    <font>
      <vertAlign val="superscript"/>
      <sz val="10"/>
      <name val="Arial"/>
      <family val="2"/>
    </font>
    <font>
      <b/>
      <u/>
      <sz val="10"/>
      <name val="Arial"/>
      <family val="2"/>
    </font>
    <font>
      <sz val="7"/>
      <name val="Times New Roman"/>
      <family val="1"/>
    </font>
    <font>
      <b/>
      <sz val="7"/>
      <name val="Times New Roman"/>
      <family val="1"/>
    </font>
    <font>
      <b/>
      <vertAlign val="superscript"/>
      <sz val="10"/>
      <name val="Times New Roman"/>
      <family val="1"/>
    </font>
    <font>
      <b/>
      <i/>
      <vertAlign val="superscript"/>
      <sz val="10"/>
      <name val="Arial"/>
      <family val="2"/>
    </font>
    <font>
      <u/>
      <sz val="10"/>
      <name val="Arial Narrow"/>
      <family val="2"/>
    </font>
    <font>
      <sz val="10"/>
      <name val="Arial"/>
      <family val="2"/>
    </font>
    <font>
      <sz val="10"/>
      <name val="Arial"/>
      <family val="2"/>
    </font>
    <font>
      <u val="doubleAccounting"/>
      <sz val="12"/>
      <name val="Times New Roman"/>
      <family val="1"/>
    </font>
    <font>
      <b/>
      <sz val="16"/>
      <name val="Times New Roman"/>
      <family val="1"/>
    </font>
    <font>
      <sz val="16"/>
      <name val="Arial"/>
      <family val="2"/>
    </font>
    <font>
      <sz val="14"/>
      <name val="Times New Roman"/>
      <family val="1"/>
    </font>
    <font>
      <vertAlign val="superscript"/>
      <sz val="14"/>
      <name val="Times New Roman"/>
      <family val="1"/>
    </font>
    <font>
      <b/>
      <sz val="16"/>
      <name val="Arial"/>
      <family val="2"/>
    </font>
    <font>
      <u/>
      <sz val="14"/>
      <name val="Times New Roman"/>
      <family val="1"/>
    </font>
    <font>
      <u/>
      <vertAlign val="superscript"/>
      <sz val="14"/>
      <name val="Times New Roman"/>
      <family val="1"/>
    </font>
    <font>
      <sz val="14"/>
      <name val="Arial"/>
      <family val="2"/>
    </font>
    <font>
      <sz val="16"/>
      <name val="Times New Roman"/>
      <family val="1"/>
    </font>
    <font>
      <u/>
      <sz val="10"/>
      <name val="Arial"/>
      <family val="2"/>
    </font>
    <font>
      <b/>
      <u/>
      <sz val="12"/>
      <name val="Times New Roman"/>
      <family val="1"/>
    </font>
    <font>
      <sz val="12"/>
      <color indexed="8"/>
      <name val="Times New Roman"/>
      <family val="1"/>
    </font>
    <font>
      <sz val="13"/>
      <name val="Times New Roman"/>
      <family val="1"/>
    </font>
    <font>
      <sz val="13"/>
      <name val="Arial"/>
      <family val="2"/>
    </font>
    <font>
      <sz val="15"/>
      <name val="Times New Roman"/>
      <family val="1"/>
    </font>
    <font>
      <sz val="15"/>
      <name val="Arial"/>
      <family val="2"/>
    </font>
    <font>
      <b/>
      <vertAlign val="superscript"/>
      <sz val="16"/>
      <name val="Times New Roman"/>
      <family val="1"/>
    </font>
    <font>
      <sz val="12"/>
      <name val="Arial MT"/>
    </font>
    <font>
      <u/>
      <sz val="9"/>
      <name val="Arial MT"/>
    </font>
    <font>
      <i/>
      <sz val="12"/>
      <name val="Times New Roman"/>
      <family val="1"/>
    </font>
    <font>
      <sz val="10"/>
      <color indexed="10"/>
      <name val="Arial"/>
      <family val="2"/>
    </font>
    <font>
      <sz val="10"/>
      <color indexed="8"/>
      <name val="Arial"/>
      <family val="2"/>
    </font>
    <font>
      <b/>
      <sz val="9"/>
      <name val="Arial MT"/>
    </font>
    <font>
      <sz val="8"/>
      <name val="Times New Roman"/>
      <family val="1"/>
    </font>
    <font>
      <sz val="9"/>
      <color indexed="81"/>
      <name val="Tahoma"/>
      <family val="2"/>
    </font>
    <font>
      <b/>
      <sz val="12"/>
      <name val="Arial MT"/>
    </font>
    <font>
      <b/>
      <sz val="9"/>
      <color indexed="81"/>
      <name val="Tahoma"/>
      <family val="2"/>
    </font>
    <font>
      <strike/>
      <sz val="12"/>
      <name val="Times New Roman"/>
      <family val="1"/>
    </font>
    <font>
      <strike/>
      <sz val="10"/>
      <name val="Times New Roman"/>
      <family val="1"/>
    </font>
    <font>
      <strike/>
      <vertAlign val="superscript"/>
      <sz val="12"/>
      <name val="Times New Roman"/>
      <family val="1"/>
    </font>
    <font>
      <strike/>
      <u/>
      <sz val="12"/>
      <name val="Times New Roman"/>
      <family val="1"/>
    </font>
    <font>
      <strike/>
      <sz val="14"/>
      <name val="Times New Roman"/>
      <family val="1"/>
    </font>
    <font>
      <strike/>
      <sz val="14"/>
      <name val="Arial"/>
      <family val="2"/>
    </font>
    <font>
      <strike/>
      <sz val="10"/>
      <color indexed="10"/>
      <name val="Times New Roman"/>
      <family val="1"/>
    </font>
    <font>
      <sz val="9"/>
      <name val="Times New Roman"/>
      <family val="1"/>
    </font>
    <font>
      <sz val="11"/>
      <name val="Times New Roman"/>
      <family val="1"/>
    </font>
    <font>
      <sz val="10"/>
      <color indexed="8"/>
      <name val="Times New Roman"/>
      <family val="1"/>
    </font>
    <font>
      <vertAlign val="superscript"/>
      <sz val="10"/>
      <name val="Times New Roman"/>
      <family val="1"/>
    </font>
    <font>
      <sz val="9"/>
      <color indexed="10"/>
      <name val="Times New Roman"/>
      <family val="1"/>
    </font>
    <font>
      <vertAlign val="superscript"/>
      <sz val="11"/>
      <name val="Times New Roman"/>
      <family val="1"/>
    </font>
    <font>
      <u/>
      <sz val="11"/>
      <name val="Times New Roman"/>
      <family val="1"/>
    </font>
    <font>
      <sz val="9"/>
      <color indexed="56"/>
      <name val="Times New Roman"/>
      <family val="1"/>
    </font>
    <font>
      <sz val="9"/>
      <color indexed="8"/>
      <name val="Times New Roman"/>
      <family val="1"/>
    </font>
    <font>
      <sz val="11"/>
      <color indexed="56"/>
      <name val="Times New Roman"/>
      <family val="1"/>
    </font>
    <font>
      <sz val="11"/>
      <color indexed="8"/>
      <name val="Times New Roman"/>
      <family val="1"/>
    </font>
    <font>
      <sz val="11"/>
      <color indexed="10"/>
      <name val="Times New Roman"/>
      <family val="1"/>
    </font>
    <font>
      <u/>
      <sz val="9"/>
      <name val="Times New Roman"/>
      <family val="1"/>
    </font>
    <font>
      <sz val="12"/>
      <color indexed="10"/>
      <name val="Times New Roman"/>
      <family val="1"/>
    </font>
    <font>
      <b/>
      <sz val="15"/>
      <name val="Times New Roman"/>
      <family val="1"/>
    </font>
    <font>
      <sz val="10"/>
      <color indexed="10"/>
      <name val="Times New Roman"/>
      <family val="1"/>
    </font>
    <font>
      <sz val="9"/>
      <color indexed="10"/>
      <name val="Arial"/>
      <family val="2"/>
    </font>
    <font>
      <u val="singleAccounting"/>
      <sz val="12"/>
      <name val="Times New Roman"/>
      <family val="1"/>
    </font>
    <font>
      <vertAlign val="superscript"/>
      <sz val="12"/>
      <color indexed="8"/>
      <name val="Times New Roman"/>
      <family val="1"/>
    </font>
    <font>
      <b/>
      <sz val="11"/>
      <name val="Times New Roman"/>
      <family val="1"/>
    </font>
    <font>
      <sz val="11"/>
      <color theme="1"/>
      <name val="Calibri"/>
      <family val="2"/>
      <scheme val="minor"/>
    </font>
    <font>
      <sz val="12"/>
      <color rgb="FF99FFCC"/>
      <name val="Arial"/>
      <family val="2"/>
    </font>
    <font>
      <sz val="12"/>
      <color theme="1"/>
      <name val="Times New Roman"/>
      <family val="1"/>
    </font>
    <font>
      <sz val="9"/>
      <color rgb="FFFF0000"/>
      <name val="Times New Roman"/>
      <family val="1"/>
    </font>
    <font>
      <sz val="9"/>
      <color rgb="FF7030A0"/>
      <name val="Times New Roman"/>
      <family val="1"/>
    </font>
    <font>
      <sz val="10"/>
      <color rgb="FFFF0000"/>
      <name val="Times New Roman"/>
      <family val="1"/>
    </font>
    <font>
      <sz val="10"/>
      <color theme="1"/>
      <name val="Times New Roman"/>
      <family val="1"/>
    </font>
    <font>
      <sz val="12"/>
      <color rgb="FFFF0000"/>
      <name val="Times New Roman"/>
      <family val="1"/>
    </font>
    <font>
      <sz val="9"/>
      <color theme="1"/>
      <name val="Arial"/>
      <family val="2"/>
    </font>
    <font>
      <sz val="10"/>
      <color rgb="FF008000"/>
      <name val="Times New Roman"/>
      <family val="1"/>
    </font>
    <font>
      <strike/>
      <sz val="12"/>
      <color rgb="FFFF0000"/>
      <name val="Times New Roman"/>
      <family val="1"/>
    </font>
    <font>
      <sz val="9"/>
      <color theme="1"/>
      <name val="Times New Roman"/>
      <family val="1"/>
    </font>
    <font>
      <i/>
      <sz val="10"/>
      <name val="Arial"/>
      <family val="2"/>
    </font>
    <font>
      <sz val="10"/>
      <color rgb="FFFF0000"/>
      <name val="Arial"/>
      <family val="2"/>
    </font>
  </fonts>
  <fills count="11">
    <fill>
      <patternFill patternType="none"/>
    </fill>
    <fill>
      <patternFill patternType="gray125"/>
    </fill>
    <fill>
      <patternFill patternType="solid">
        <fgColor rgb="FFCCFFCC"/>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rgb="FFCCF4CC"/>
        <bgColor indexed="64"/>
      </patternFill>
    </fill>
    <fill>
      <patternFill patternType="solid">
        <fgColor theme="3" tint="0.79998168889431442"/>
        <bgColor indexed="64"/>
      </patternFill>
    </fill>
    <fill>
      <patternFill patternType="solid">
        <fgColor rgb="FFC9FBC5"/>
        <bgColor indexed="64"/>
      </patternFill>
    </fill>
    <fill>
      <patternFill patternType="solid">
        <fgColor rgb="FFC5D9F1"/>
        <bgColor indexed="64"/>
      </patternFill>
    </fill>
    <fill>
      <patternFill patternType="solid">
        <fgColor rgb="FFB8CCE4"/>
        <bgColor indexed="64"/>
      </patternFill>
    </fill>
  </fills>
  <borders count="27">
    <border>
      <left/>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right/>
      <top style="hair">
        <color indexed="64"/>
      </top>
      <bottom/>
      <diagonal/>
    </border>
    <border>
      <left style="thin">
        <color indexed="64"/>
      </left>
      <right style="thin">
        <color indexed="64"/>
      </right>
      <top/>
      <bottom style="medium">
        <color indexed="64"/>
      </bottom>
      <diagonal/>
    </border>
    <border>
      <left/>
      <right/>
      <top style="thick">
        <color rgb="FF0070C0"/>
      </top>
      <bottom/>
      <diagonal/>
    </border>
    <border>
      <left/>
      <right/>
      <top style="thick">
        <color rgb="FF3702E0"/>
      </top>
      <bottom/>
      <diagonal/>
    </border>
    <border>
      <left/>
      <right/>
      <top style="thick">
        <color rgb="FF0A0EB6"/>
      </top>
      <bottom/>
      <diagonal/>
    </border>
    <border>
      <left/>
      <right/>
      <top/>
      <bottom style="thick">
        <color rgb="FF0070C0"/>
      </bottom>
      <diagonal/>
    </border>
  </borders>
  <cellStyleXfs count="28">
    <xf numFmtId="0" fontId="0" fillId="0" borderId="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96" fillId="0" borderId="0"/>
    <xf numFmtId="0" fontId="1" fillId="0" borderId="0"/>
    <xf numFmtId="0" fontId="18" fillId="0" borderId="0"/>
    <xf numFmtId="0" fontId="18" fillId="0" borderId="0"/>
    <xf numFmtId="0" fontId="18" fillId="0" borderId="0"/>
    <xf numFmtId="0" fontId="63" fillId="0" borderId="0"/>
    <xf numFmtId="0" fontId="63" fillId="0" borderId="0"/>
    <xf numFmtId="188" fontId="2" fillId="0" borderId="0"/>
    <xf numFmtId="0" fontId="9" fillId="0" borderId="0"/>
    <xf numFmtId="0" fontId="9" fillId="0" borderId="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96" fillId="0" borderId="0" applyFont="0" applyFill="0" applyBorder="0" applyAlignment="0" applyProtection="0"/>
    <xf numFmtId="9" fontId="18" fillId="0" borderId="0" applyFont="0" applyFill="0" applyBorder="0" applyAlignment="0" applyProtection="0"/>
    <xf numFmtId="41" fontId="18" fillId="0" borderId="0" applyFont="0" applyFill="0" applyBorder="0" applyAlignment="0" applyProtection="0"/>
    <xf numFmtId="0" fontId="18" fillId="0" borderId="0"/>
    <xf numFmtId="0" fontId="18" fillId="0" borderId="0"/>
  </cellStyleXfs>
  <cellXfs count="1812">
    <xf numFmtId="0" fontId="0" fillId="0" borderId="0" xfId="0"/>
    <xf numFmtId="0" fontId="3" fillId="0" borderId="0" xfId="0" applyFont="1"/>
    <xf numFmtId="0" fontId="4" fillId="0" borderId="0" xfId="0" applyFont="1"/>
    <xf numFmtId="0" fontId="9" fillId="0" borderId="0" xfId="0" applyFont="1"/>
    <xf numFmtId="0" fontId="12" fillId="0" borderId="0" xfId="0" applyFont="1"/>
    <xf numFmtId="169" fontId="3" fillId="0" borderId="0" xfId="0" applyNumberFormat="1" applyFont="1"/>
    <xf numFmtId="5" fontId="3" fillId="0" borderId="0" xfId="0" applyNumberFormat="1" applyFont="1"/>
    <xf numFmtId="37" fontId="3" fillId="0" borderId="0" xfId="0" applyNumberFormat="1" applyFont="1"/>
    <xf numFmtId="0" fontId="3" fillId="0" borderId="0" xfId="0" applyFont="1" applyAlignment="1">
      <alignment horizontal="center"/>
    </xf>
    <xf numFmtId="0" fontId="3" fillId="0" borderId="0" xfId="11" applyFont="1" applyFill="1"/>
    <xf numFmtId="0" fontId="3" fillId="0" borderId="0" xfId="11" applyFont="1" applyFill="1" applyAlignment="1">
      <alignment horizontal="center"/>
    </xf>
    <xf numFmtId="0" fontId="7" fillId="0" borderId="0" xfId="0" applyFont="1" applyAlignment="1">
      <alignment horizontal="center"/>
    </xf>
    <xf numFmtId="0" fontId="17" fillId="0" borderId="0" xfId="0" applyFont="1"/>
    <xf numFmtId="169" fontId="4" fillId="0" borderId="0" xfId="0" applyNumberFormat="1" applyFont="1"/>
    <xf numFmtId="3" fontId="12" fillId="0" borderId="0" xfId="0" applyNumberFormat="1" applyFont="1" applyAlignment="1">
      <alignment horizontal="right"/>
    </xf>
    <xf numFmtId="0" fontId="12" fillId="0" borderId="0" xfId="0" applyFont="1" applyAlignment="1">
      <alignment horizontal="right"/>
    </xf>
    <xf numFmtId="0" fontId="8" fillId="0" borderId="0" xfId="0" applyFont="1" applyAlignment="1">
      <alignment horizontal="center"/>
    </xf>
    <xf numFmtId="0" fontId="19" fillId="0" borderId="0" xfId="11" applyFont="1" applyFill="1" applyAlignment="1">
      <alignment horizontal="center"/>
    </xf>
    <xf numFmtId="0" fontId="20" fillId="0" borderId="0" xfId="11" applyFont="1" applyFill="1" applyAlignment="1">
      <alignment horizontal="center"/>
    </xf>
    <xf numFmtId="0" fontId="21" fillId="0" borderId="0" xfId="0" applyFont="1"/>
    <xf numFmtId="3" fontId="4" fillId="0" borderId="0" xfId="0" applyNumberFormat="1" applyFont="1"/>
    <xf numFmtId="0" fontId="10" fillId="0" borderId="0" xfId="0" applyFont="1"/>
    <xf numFmtId="0" fontId="4" fillId="0" borderId="0" xfId="0" applyFont="1" applyAlignment="1">
      <alignment horizontal="right"/>
    </xf>
    <xf numFmtId="0" fontId="4" fillId="0" borderId="0" xfId="0" applyFont="1" applyAlignment="1"/>
    <xf numFmtId="0" fontId="0" fillId="0" borderId="0" xfId="0" applyBorder="1" applyAlignment="1">
      <alignment horizontal="center"/>
    </xf>
    <xf numFmtId="3" fontId="18" fillId="0" borderId="0" xfId="0" applyNumberFormat="1" applyFont="1" applyFill="1" applyBorder="1"/>
    <xf numFmtId="3" fontId="18" fillId="0" borderId="0" xfId="0" applyNumberFormat="1" applyFont="1" applyBorder="1"/>
    <xf numFmtId="0" fontId="20" fillId="0" borderId="0" xfId="0" applyFont="1" applyAlignment="1">
      <alignment horizontal="center"/>
    </xf>
    <xf numFmtId="0" fontId="3" fillId="0" borderId="0" xfId="11" applyFont="1" applyFill="1" applyAlignment="1">
      <alignment vertical="top"/>
    </xf>
    <xf numFmtId="0" fontId="19" fillId="0" borderId="0" xfId="11" applyFont="1" applyFill="1"/>
    <xf numFmtId="0" fontId="3" fillId="0" borderId="0" xfId="11" applyFont="1" applyFill="1" applyAlignment="1">
      <alignment horizontal="right" vertical="top"/>
    </xf>
    <xf numFmtId="0" fontId="3" fillId="0" borderId="0" xfId="11" applyFont="1" applyFill="1" applyAlignment="1">
      <alignment vertical="top" wrapText="1"/>
    </xf>
    <xf numFmtId="49" fontId="3" fillId="0" borderId="0" xfId="0" applyNumberFormat="1" applyFont="1" applyFill="1" applyAlignment="1">
      <alignment vertical="top"/>
    </xf>
    <xf numFmtId="41" fontId="3" fillId="0" borderId="0" xfId="11" applyNumberFormat="1" applyFont="1" applyFill="1" applyAlignment="1">
      <alignment vertical="top"/>
    </xf>
    <xf numFmtId="0" fontId="3" fillId="0" borderId="0" xfId="0" applyFont="1" applyFill="1" applyAlignment="1">
      <alignment vertical="top"/>
    </xf>
    <xf numFmtId="41" fontId="3" fillId="0" borderId="0" xfId="11" applyNumberFormat="1" applyFont="1" applyFill="1" applyBorder="1" applyAlignment="1">
      <alignment vertical="top"/>
    </xf>
    <xf numFmtId="0" fontId="3" fillId="0" borderId="0" xfId="11" applyFont="1" applyFill="1" applyBorder="1" applyAlignment="1">
      <alignment horizontal="right" vertical="top"/>
    </xf>
    <xf numFmtId="0" fontId="3" fillId="0" borderId="0" xfId="11" applyFont="1" applyFill="1" applyBorder="1" applyAlignment="1">
      <alignment vertical="top"/>
    </xf>
    <xf numFmtId="0" fontId="3" fillId="0" borderId="0" xfId="11" applyFont="1" applyFill="1" applyAlignment="1">
      <alignment horizontal="left"/>
    </xf>
    <xf numFmtId="0" fontId="0" fillId="0" borderId="0" xfId="0" applyAlignment="1">
      <alignment horizontal="center"/>
    </xf>
    <xf numFmtId="0" fontId="0" fillId="0" borderId="0" xfId="0" applyBorder="1"/>
    <xf numFmtId="0" fontId="20" fillId="0" borderId="0" xfId="0" applyFont="1"/>
    <xf numFmtId="0" fontId="0" fillId="0" borderId="0" xfId="0" applyFill="1"/>
    <xf numFmtId="0" fontId="25" fillId="0" borderId="0" xfId="0" applyFont="1" applyBorder="1"/>
    <xf numFmtId="0" fontId="23" fillId="0" borderId="0" xfId="0" applyFont="1"/>
    <xf numFmtId="0" fontId="25" fillId="0" borderId="0" xfId="0" applyFont="1" applyAlignment="1">
      <alignment horizontal="center"/>
    </xf>
    <xf numFmtId="0" fontId="23" fillId="0" borderId="0" xfId="0" applyFont="1" applyBorder="1"/>
    <xf numFmtId="40" fontId="23" fillId="0" borderId="0" xfId="0" applyNumberFormat="1" applyFont="1" applyAlignment="1">
      <alignment horizontal="left"/>
    </xf>
    <xf numFmtId="40" fontId="23" fillId="0" borderId="0" xfId="0" applyNumberFormat="1" applyFont="1"/>
    <xf numFmtId="4" fontId="23" fillId="0" borderId="0" xfId="0" applyNumberFormat="1" applyFont="1"/>
    <xf numFmtId="0" fontId="18" fillId="0" borderId="0" xfId="11" applyFont="1" applyFill="1" applyAlignment="1">
      <alignment horizontal="left"/>
    </xf>
    <xf numFmtId="0" fontId="18" fillId="0" borderId="0" xfId="11" applyFont="1" applyFill="1"/>
    <xf numFmtId="0" fontId="28" fillId="0" borderId="0" xfId="0" applyNumberFormat="1" applyFont="1" applyAlignment="1"/>
    <xf numFmtId="0" fontId="28" fillId="0" borderId="0" xfId="0" applyNumberFormat="1" applyFont="1" applyAlignment="1">
      <alignment horizontal="center"/>
    </xf>
    <xf numFmtId="0" fontId="28" fillId="0" borderId="0" xfId="0" applyNumberFormat="1" applyFont="1" applyAlignment="1">
      <alignment horizontal="left"/>
    </xf>
    <xf numFmtId="0" fontId="18" fillId="0" borderId="0" xfId="0" applyFont="1"/>
    <xf numFmtId="0" fontId="25" fillId="0" borderId="0" xfId="0" applyFont="1" applyBorder="1" applyAlignment="1">
      <alignment horizontal="left"/>
    </xf>
    <xf numFmtId="0" fontId="25" fillId="0" borderId="0" xfId="0" applyFont="1" applyBorder="1" applyAlignment="1">
      <alignment horizontal="center"/>
    </xf>
    <xf numFmtId="0" fontId="29" fillId="0" borderId="0" xfId="0" applyFont="1" applyBorder="1" applyAlignment="1">
      <alignment horizontal="center"/>
    </xf>
    <xf numFmtId="170" fontId="23" fillId="0" borderId="0" xfId="0" applyNumberFormat="1" applyFont="1" applyBorder="1"/>
    <xf numFmtId="10" fontId="30" fillId="0" borderId="0" xfId="0" applyNumberFormat="1" applyFont="1" applyBorder="1" applyAlignment="1">
      <alignment horizontal="left"/>
    </xf>
    <xf numFmtId="0" fontId="29" fillId="0" borderId="0" xfId="0" applyFont="1" applyBorder="1"/>
    <xf numFmtId="170" fontId="29" fillId="0" borderId="0" xfId="0" applyNumberFormat="1" applyFont="1" applyBorder="1"/>
    <xf numFmtId="0" fontId="29" fillId="0" borderId="0" xfId="0" applyFont="1"/>
    <xf numFmtId="10" fontId="31" fillId="0" borderId="0" xfId="0" applyNumberFormat="1" applyFont="1" applyBorder="1" applyAlignment="1">
      <alignment horizontal="left"/>
    </xf>
    <xf numFmtId="0" fontId="22" fillId="0" borderId="0" xfId="0" applyFont="1" applyBorder="1" applyAlignment="1">
      <alignment horizontal="center"/>
    </xf>
    <xf numFmtId="17" fontId="23" fillId="0" borderId="0" xfId="0" applyNumberFormat="1" applyFont="1" applyBorder="1" applyAlignment="1">
      <alignment horizontal="left"/>
    </xf>
    <xf numFmtId="41" fontId="0" fillId="0" borderId="0" xfId="0" applyNumberFormat="1" applyBorder="1"/>
    <xf numFmtId="0" fontId="23" fillId="0" borderId="0" xfId="0" applyFont="1" applyBorder="1" applyAlignment="1">
      <alignment horizontal="center"/>
    </xf>
    <xf numFmtId="10" fontId="29" fillId="0" borderId="0" xfId="20" applyNumberFormat="1" applyFont="1" applyBorder="1"/>
    <xf numFmtId="0" fontId="29" fillId="0" borderId="0" xfId="0" applyFont="1" applyFill="1" applyBorder="1"/>
    <xf numFmtId="41" fontId="23" fillId="0" borderId="0" xfId="0" applyNumberFormat="1" applyFont="1" applyBorder="1"/>
    <xf numFmtId="44" fontId="29" fillId="0" borderId="0" xfId="0" applyNumberFormat="1" applyFont="1" applyBorder="1"/>
    <xf numFmtId="44" fontId="23" fillId="0" borderId="0" xfId="0" applyNumberFormat="1" applyFont="1" applyBorder="1"/>
    <xf numFmtId="42" fontId="23" fillId="0" borderId="0" xfId="0" applyNumberFormat="1" applyFont="1" applyBorder="1"/>
    <xf numFmtId="172" fontId="23" fillId="0" borderId="0" xfId="0" applyNumberFormat="1" applyFont="1" applyBorder="1"/>
    <xf numFmtId="10" fontId="29" fillId="0" borderId="0" xfId="0" applyNumberFormat="1" applyFont="1" applyFill="1" applyBorder="1" applyAlignment="1">
      <alignment horizontal="center"/>
    </xf>
    <xf numFmtId="41" fontId="23" fillId="0" borderId="0" xfId="0" applyNumberFormat="1" applyFont="1" applyFill="1" applyBorder="1"/>
    <xf numFmtId="0" fontId="30" fillId="0" borderId="0" xfId="0" applyFont="1" applyBorder="1"/>
    <xf numFmtId="0" fontId="27" fillId="0" borderId="0" xfId="0" applyFont="1" applyBorder="1"/>
    <xf numFmtId="0" fontId="11" fillId="0" borderId="0" xfId="0" applyFont="1" applyFill="1" applyBorder="1" applyAlignment="1">
      <alignment horizontal="left"/>
    </xf>
    <xf numFmtId="172" fontId="27" fillId="0" borderId="0" xfId="0" applyNumberFormat="1" applyFont="1" applyBorder="1"/>
    <xf numFmtId="44" fontId="25" fillId="0" borderId="0" xfId="0" applyNumberFormat="1" applyFont="1" applyBorder="1"/>
    <xf numFmtId="170" fontId="1" fillId="0" borderId="0" xfId="6" applyNumberFormat="1" applyFont="1" applyBorder="1"/>
    <xf numFmtId="170" fontId="18" fillId="0" borderId="0" xfId="0" applyNumberFormat="1" applyFont="1" applyBorder="1"/>
    <xf numFmtId="166" fontId="1" fillId="0" borderId="0" xfId="3" applyNumberFormat="1" applyFont="1" applyBorder="1"/>
    <xf numFmtId="166" fontId="18" fillId="0" borderId="0" xfId="3" applyNumberFormat="1" applyFont="1" applyBorder="1"/>
    <xf numFmtId="43" fontId="23" fillId="0" borderId="0" xfId="3" applyFont="1" applyBorder="1"/>
    <xf numFmtId="0" fontId="23" fillId="0" borderId="0" xfId="0" applyFont="1" applyBorder="1" applyAlignment="1">
      <alignment horizontal="right"/>
    </xf>
    <xf numFmtId="0" fontId="30" fillId="0" borderId="0" xfId="0" applyFont="1" applyBorder="1" applyAlignment="1">
      <alignment horizontal="left"/>
    </xf>
    <xf numFmtId="172" fontId="23" fillId="0" borderId="0" xfId="21" applyNumberFormat="1" applyFont="1" applyBorder="1"/>
    <xf numFmtId="14" fontId="18" fillId="0" borderId="0" xfId="0" applyNumberFormat="1" applyFont="1" applyBorder="1" applyAlignment="1">
      <alignment horizontal="center"/>
    </xf>
    <xf numFmtId="166" fontId="0" fillId="0" borderId="0" xfId="1" applyNumberFormat="1" applyFont="1"/>
    <xf numFmtId="10" fontId="0" fillId="0" borderId="0" xfId="0" applyNumberFormat="1"/>
    <xf numFmtId="168" fontId="20" fillId="0" borderId="0" xfId="0" applyNumberFormat="1" applyFont="1"/>
    <xf numFmtId="165" fontId="0" fillId="0" borderId="0" xfId="1" applyNumberFormat="1" applyFont="1"/>
    <xf numFmtId="43" fontId="0" fillId="0" borderId="0" xfId="0" applyNumberFormat="1"/>
    <xf numFmtId="165" fontId="20" fillId="0" borderId="0" xfId="0" applyNumberFormat="1" applyFont="1"/>
    <xf numFmtId="0" fontId="32" fillId="0" borderId="0" xfId="0" applyNumberFormat="1" applyFont="1" applyAlignment="1"/>
    <xf numFmtId="0" fontId="18" fillId="0" borderId="0" xfId="0" applyFont="1" applyBorder="1"/>
    <xf numFmtId="17" fontId="6" fillId="0" borderId="0" xfId="0" applyNumberFormat="1" applyFont="1" applyBorder="1" applyAlignment="1">
      <alignment horizontal="right"/>
    </xf>
    <xf numFmtId="17" fontId="22" fillId="0" borderId="0" xfId="0" applyNumberFormat="1" applyFont="1" applyBorder="1" applyAlignment="1">
      <alignment horizontal="right"/>
    </xf>
    <xf numFmtId="3" fontId="22" fillId="0" borderId="0" xfId="0" applyNumberFormat="1" applyFont="1" applyBorder="1" applyAlignment="1">
      <alignment horizontal="right"/>
    </xf>
    <xf numFmtId="0" fontId="35" fillId="0" borderId="0" xfId="0" applyFont="1" applyAlignment="1">
      <alignment horizontal="center"/>
    </xf>
    <xf numFmtId="37" fontId="35" fillId="0" borderId="0" xfId="0" applyNumberFormat="1" applyFont="1" applyAlignment="1">
      <alignment horizontal="center"/>
    </xf>
    <xf numFmtId="166" fontId="35" fillId="0" borderId="0" xfId="1" applyNumberFormat="1" applyFont="1" applyAlignment="1">
      <alignment horizontal="center"/>
    </xf>
    <xf numFmtId="166" fontId="35" fillId="0" borderId="0" xfId="0" applyNumberFormat="1" applyFont="1" applyAlignment="1">
      <alignment horizontal="center"/>
    </xf>
    <xf numFmtId="5" fontId="35" fillId="0" borderId="0" xfId="0" applyNumberFormat="1" applyFont="1" applyAlignment="1">
      <alignment horizontal="center"/>
    </xf>
    <xf numFmtId="43" fontId="35" fillId="0" borderId="0" xfId="0" applyNumberFormat="1" applyFont="1" applyAlignment="1">
      <alignment horizontal="center"/>
    </xf>
    <xf numFmtId="7" fontId="35" fillId="0" borderId="0" xfId="0" applyNumberFormat="1" applyFont="1" applyAlignment="1">
      <alignment horizontal="center"/>
    </xf>
    <xf numFmtId="0" fontId="4" fillId="0" borderId="0" xfId="0" applyFont="1" applyAlignment="1">
      <alignment horizontal="center"/>
    </xf>
    <xf numFmtId="0" fontId="12" fillId="0" borderId="0" xfId="0" applyFont="1" applyAlignment="1">
      <alignment horizontal="center"/>
    </xf>
    <xf numFmtId="170" fontId="0" fillId="0" borderId="0" xfId="0" applyNumberFormat="1"/>
    <xf numFmtId="0" fontId="4" fillId="0" borderId="1" xfId="0" applyFont="1" applyBorder="1" applyAlignment="1">
      <alignment horizontal="center"/>
    </xf>
    <xf numFmtId="3" fontId="4" fillId="0" borderId="0" xfId="1" applyNumberFormat="1" applyFont="1"/>
    <xf numFmtId="37" fontId="18" fillId="0" borderId="0" xfId="0" applyNumberFormat="1" applyFont="1"/>
    <xf numFmtId="0" fontId="6" fillId="0" borderId="0" xfId="11" applyFont="1" applyFill="1" applyAlignment="1">
      <alignment horizontal="left"/>
    </xf>
    <xf numFmtId="0" fontId="3" fillId="0" borderId="0" xfId="11" applyFont="1" applyFill="1" applyAlignment="1">
      <alignment horizontal="right"/>
    </xf>
    <xf numFmtId="41" fontId="0" fillId="0" borderId="0" xfId="1" applyNumberFormat="1" applyFont="1"/>
    <xf numFmtId="41" fontId="0" fillId="0" borderId="0" xfId="0" applyNumberFormat="1"/>
    <xf numFmtId="0" fontId="4" fillId="0" borderId="0" xfId="0" applyFont="1" applyAlignment="1">
      <alignment horizontal="left"/>
    </xf>
    <xf numFmtId="0" fontId="4" fillId="0" borderId="0" xfId="0" applyFont="1" applyAlignment="1">
      <alignment vertical="top"/>
    </xf>
    <xf numFmtId="0" fontId="4" fillId="0" borderId="0" xfId="0" applyFont="1" applyAlignment="1">
      <alignment vertical="top" wrapText="1"/>
    </xf>
    <xf numFmtId="44" fontId="21" fillId="0" borderId="0" xfId="5" applyFont="1"/>
    <xf numFmtId="7" fontId="21" fillId="0" borderId="0" xfId="0" applyNumberFormat="1" applyFont="1"/>
    <xf numFmtId="0" fontId="39" fillId="0" borderId="0" xfId="0" applyFont="1"/>
    <xf numFmtId="37" fontId="21" fillId="0" borderId="0" xfId="0" applyNumberFormat="1" applyFont="1"/>
    <xf numFmtId="0" fontId="21" fillId="0" borderId="0" xfId="0" applyFont="1" applyBorder="1"/>
    <xf numFmtId="0" fontId="39" fillId="0" borderId="0" xfId="0" applyFont="1" applyBorder="1"/>
    <xf numFmtId="0" fontId="21" fillId="0" borderId="0" xfId="11" applyFont="1" applyFill="1" applyAlignment="1">
      <alignment horizontal="left"/>
    </xf>
    <xf numFmtId="0" fontId="21" fillId="0" borderId="0" xfId="11" applyFont="1" applyFill="1"/>
    <xf numFmtId="41" fontId="3" fillId="0" borderId="0" xfId="11" applyNumberFormat="1" applyFont="1" applyFill="1" applyAlignment="1">
      <alignment horizontal="right" vertical="top"/>
    </xf>
    <xf numFmtId="41" fontId="3" fillId="0" borderId="0" xfId="11" applyNumberFormat="1" applyFont="1" applyFill="1" applyAlignment="1">
      <alignment horizontal="center" vertical="top"/>
    </xf>
    <xf numFmtId="3" fontId="21" fillId="0" borderId="0" xfId="0" applyNumberFormat="1" applyFont="1" applyBorder="1"/>
    <xf numFmtId="166" fontId="21" fillId="0" borderId="0" xfId="1" applyNumberFormat="1" applyFont="1"/>
    <xf numFmtId="166" fontId="21" fillId="0" borderId="0" xfId="0" applyNumberFormat="1" applyFont="1"/>
    <xf numFmtId="5" fontId="21" fillId="0" borderId="0" xfId="0" applyNumberFormat="1" applyFont="1"/>
    <xf numFmtId="43" fontId="21" fillId="0" borderId="0" xfId="0" applyNumberFormat="1" applyFont="1"/>
    <xf numFmtId="37" fontId="39" fillId="0" borderId="0" xfId="0" applyNumberFormat="1" applyFont="1"/>
    <xf numFmtId="166" fontId="39" fillId="0" borderId="0" xfId="1" applyNumberFormat="1" applyFont="1"/>
    <xf numFmtId="166" fontId="39" fillId="0" borderId="0" xfId="0" applyNumberFormat="1" applyFont="1"/>
    <xf numFmtId="5" fontId="39" fillId="0" borderId="0" xfId="0" applyNumberFormat="1" applyFont="1"/>
    <xf numFmtId="43" fontId="39" fillId="0" borderId="0" xfId="0" applyNumberFormat="1" applyFont="1"/>
    <xf numFmtId="7" fontId="39" fillId="0" borderId="0" xfId="0" applyNumberFormat="1" applyFont="1"/>
    <xf numFmtId="43" fontId="21" fillId="0" borderId="0" xfId="1" applyNumberFormat="1" applyFont="1"/>
    <xf numFmtId="43" fontId="21" fillId="0" borderId="0" xfId="1" applyNumberFormat="1" applyFont="1" applyBorder="1"/>
    <xf numFmtId="166" fontId="21" fillId="0" borderId="0" xfId="0" applyNumberFormat="1" applyFont="1" applyBorder="1"/>
    <xf numFmtId="5" fontId="21" fillId="0" borderId="0" xfId="0" applyNumberFormat="1" applyFont="1" applyBorder="1"/>
    <xf numFmtId="43" fontId="21" fillId="0" borderId="0" xfId="0" applyNumberFormat="1" applyFont="1" applyBorder="1"/>
    <xf numFmtId="44" fontId="21" fillId="0" borderId="0" xfId="0" applyNumberFormat="1" applyFont="1"/>
    <xf numFmtId="0" fontId="42" fillId="0" borderId="0" xfId="0" applyFont="1" applyAlignment="1">
      <alignment horizontal="center"/>
    </xf>
    <xf numFmtId="0" fontId="4" fillId="0" borderId="0" xfId="0" applyFont="1" applyAlignment="1">
      <alignment wrapText="1"/>
    </xf>
    <xf numFmtId="0" fontId="9" fillId="0" borderId="0" xfId="0" applyFont="1" applyAlignment="1">
      <alignment horizontal="right"/>
    </xf>
    <xf numFmtId="0" fontId="44" fillId="0" borderId="0" xfId="0" applyFont="1"/>
    <xf numFmtId="0" fontId="16" fillId="0" borderId="0" xfId="0" applyFont="1"/>
    <xf numFmtId="0" fontId="44" fillId="0" borderId="2" xfId="0" applyFont="1" applyBorder="1"/>
    <xf numFmtId="0" fontId="44" fillId="0" borderId="3" xfId="0" applyFont="1" applyBorder="1"/>
    <xf numFmtId="0" fontId="13" fillId="0" borderId="1" xfId="0" applyFont="1" applyBorder="1" applyAlignment="1">
      <alignment horizontal="center"/>
    </xf>
    <xf numFmtId="0" fontId="44" fillId="0" borderId="0" xfId="0" applyFont="1" applyBorder="1"/>
    <xf numFmtId="0" fontId="8" fillId="0" borderId="4" xfId="0" applyFont="1" applyBorder="1"/>
    <xf numFmtId="0" fontId="13" fillId="0" borderId="4" xfId="0" applyFont="1" applyBorder="1" applyAlignment="1">
      <alignment horizontal="center"/>
    </xf>
    <xf numFmtId="0" fontId="13" fillId="0" borderId="5" xfId="0" applyFont="1" applyBorder="1"/>
    <xf numFmtId="3" fontId="12" fillId="0" borderId="0" xfId="0" applyNumberFormat="1" applyFont="1"/>
    <xf numFmtId="0" fontId="4" fillId="0" borderId="0" xfId="0" applyFont="1" applyFill="1"/>
    <xf numFmtId="169" fontId="4" fillId="0" borderId="0" xfId="0" applyNumberFormat="1" applyFont="1" applyAlignment="1">
      <alignment horizontal="center"/>
    </xf>
    <xf numFmtId="37" fontId="4" fillId="0" borderId="0" xfId="0" applyNumberFormat="1" applyFont="1"/>
    <xf numFmtId="37" fontId="12" fillId="0" borderId="0" xfId="0" applyNumberFormat="1" applyFont="1"/>
    <xf numFmtId="37" fontId="12" fillId="0" borderId="0" xfId="0" applyNumberFormat="1" applyFont="1" applyAlignment="1">
      <alignment horizontal="right"/>
    </xf>
    <xf numFmtId="37" fontId="4" fillId="0" borderId="0" xfId="0" applyNumberFormat="1" applyFont="1" applyFill="1"/>
    <xf numFmtId="37" fontId="4" fillId="0" borderId="0" xfId="0" applyNumberFormat="1" applyFont="1" applyAlignment="1">
      <alignment horizontal="right"/>
    </xf>
    <xf numFmtId="37" fontId="4" fillId="0" borderId="0" xfId="0" applyNumberFormat="1" applyFont="1" applyFill="1" applyAlignment="1">
      <alignment horizontal="center"/>
    </xf>
    <xf numFmtId="37" fontId="4" fillId="0" borderId="0" xfId="0" applyNumberFormat="1" applyFont="1" applyAlignment="1">
      <alignment horizontal="center"/>
    </xf>
    <xf numFmtId="37" fontId="4" fillId="0" borderId="0" xfId="0" applyNumberFormat="1" applyFont="1" applyAlignment="1">
      <alignment horizontal="left"/>
    </xf>
    <xf numFmtId="37" fontId="4" fillId="0" borderId="0" xfId="1" applyNumberFormat="1" applyFont="1"/>
    <xf numFmtId="37" fontId="4" fillId="0" borderId="0" xfId="0" applyNumberFormat="1" applyFont="1" applyFill="1" applyBorder="1"/>
    <xf numFmtId="37" fontId="4" fillId="0" borderId="0" xfId="0" applyNumberFormat="1" applyFont="1" applyFill="1" applyAlignment="1">
      <alignment horizontal="right"/>
    </xf>
    <xf numFmtId="37" fontId="10" fillId="0" borderId="0" xfId="0" applyNumberFormat="1" applyFont="1" applyFill="1"/>
    <xf numFmtId="37" fontId="12" fillId="0" borderId="0" xfId="0" applyNumberFormat="1" applyFont="1" applyAlignment="1">
      <alignment horizontal="center"/>
    </xf>
    <xf numFmtId="0" fontId="44" fillId="0" borderId="6" xfId="0" applyFont="1" applyBorder="1"/>
    <xf numFmtId="169" fontId="4" fillId="0" borderId="0" xfId="0" applyNumberFormat="1" applyFont="1" applyBorder="1"/>
    <xf numFmtId="169" fontId="12" fillId="0" borderId="0" xfId="0" applyNumberFormat="1" applyFont="1"/>
    <xf numFmtId="3" fontId="4" fillId="0" borderId="0" xfId="5" applyNumberFormat="1" applyFont="1"/>
    <xf numFmtId="3" fontId="12" fillId="0" borderId="0" xfId="0" applyNumberFormat="1" applyFont="1" applyAlignment="1">
      <alignment horizontal="center"/>
    </xf>
    <xf numFmtId="5" fontId="44" fillId="0" borderId="6" xfId="0" applyNumberFormat="1" applyFont="1" applyBorder="1"/>
    <xf numFmtId="39" fontId="16" fillId="0" borderId="0" xfId="0" applyNumberFormat="1" applyFont="1"/>
    <xf numFmtId="0" fontId="44" fillId="0" borderId="0" xfId="0" applyFont="1" applyAlignment="1">
      <alignment horizontal="center"/>
    </xf>
    <xf numFmtId="5" fontId="44" fillId="0" borderId="0" xfId="0" applyNumberFormat="1" applyFont="1" applyAlignment="1">
      <alignment horizontal="right"/>
    </xf>
    <xf numFmtId="0" fontId="45" fillId="0" borderId="0" xfId="0" applyFont="1"/>
    <xf numFmtId="179" fontId="44" fillId="0" borderId="0" xfId="0" applyNumberFormat="1" applyFont="1" applyBorder="1" applyAlignment="1">
      <alignment horizontal="left"/>
    </xf>
    <xf numFmtId="39" fontId="44" fillId="0" borderId="0" xfId="0" applyNumberFormat="1" applyFont="1" applyBorder="1" applyAlignment="1">
      <alignment horizontal="right"/>
    </xf>
    <xf numFmtId="39" fontId="44" fillId="0" borderId="0" xfId="0" applyNumberFormat="1" applyFont="1" applyBorder="1"/>
    <xf numFmtId="39" fontId="47" fillId="0" borderId="0" xfId="0" applyNumberFormat="1" applyFont="1" applyBorder="1"/>
    <xf numFmtId="16" fontId="44" fillId="0" borderId="0" xfId="0" applyNumberFormat="1" applyFont="1" applyBorder="1"/>
    <xf numFmtId="16" fontId="44" fillId="0" borderId="0" xfId="0" applyNumberFormat="1" applyFont="1"/>
    <xf numFmtId="10" fontId="44" fillId="0" borderId="7" xfId="0" applyNumberFormat="1" applyFont="1" applyBorder="1"/>
    <xf numFmtId="10" fontId="44" fillId="0" borderId="8" xfId="0" applyNumberFormat="1" applyFont="1" applyBorder="1"/>
    <xf numFmtId="10" fontId="44" fillId="0" borderId="5" xfId="0" applyNumberFormat="1" applyFont="1" applyBorder="1"/>
    <xf numFmtId="10" fontId="44" fillId="0" borderId="4" xfId="0" applyNumberFormat="1" applyFont="1" applyBorder="1"/>
    <xf numFmtId="0" fontId="44" fillId="0" borderId="6" xfId="0" applyFont="1" applyBorder="1" applyAlignment="1">
      <alignment horizontal="left" indent="1"/>
    </xf>
    <xf numFmtId="5" fontId="44" fillId="0" borderId="6" xfId="0" applyNumberFormat="1" applyFont="1" applyBorder="1" applyAlignment="1">
      <alignment horizontal="center"/>
    </xf>
    <xf numFmtId="0" fontId="44" fillId="0" borderId="6" xfId="0" applyFont="1" applyBorder="1" applyAlignment="1">
      <alignment horizontal="center"/>
    </xf>
    <xf numFmtId="0" fontId="47" fillId="0" borderId="9" xfId="0" applyFont="1" applyBorder="1" applyAlignment="1">
      <alignment horizontal="center"/>
    </xf>
    <xf numFmtId="0" fontId="44" fillId="0" borderId="10" xfId="0" applyFont="1" applyBorder="1" applyAlignment="1">
      <alignment horizontal="left"/>
    </xf>
    <xf numFmtId="0" fontId="44" fillId="0" borderId="9" xfId="0" applyFont="1" applyBorder="1"/>
    <xf numFmtId="0" fontId="44" fillId="0" borderId="10" xfId="0" applyFont="1" applyBorder="1"/>
    <xf numFmtId="0" fontId="44" fillId="0" borderId="11" xfId="0" applyFont="1" applyBorder="1"/>
    <xf numFmtId="5" fontId="44" fillId="0" borderId="9" xfId="0" applyNumberFormat="1" applyFont="1" applyFill="1" applyBorder="1"/>
    <xf numFmtId="37" fontId="44" fillId="0" borderId="10" xfId="0" applyNumberFormat="1" applyFont="1" applyFill="1" applyBorder="1"/>
    <xf numFmtId="37" fontId="44" fillId="0" borderId="11" xfId="0" applyNumberFormat="1" applyFont="1" applyFill="1" applyBorder="1"/>
    <xf numFmtId="10" fontId="44" fillId="0" borderId="9" xfId="0" applyNumberFormat="1" applyFont="1" applyBorder="1"/>
    <xf numFmtId="10" fontId="44" fillId="0" borderId="10" xfId="0" applyNumberFormat="1" applyFont="1" applyBorder="1"/>
    <xf numFmtId="10" fontId="44" fillId="0" borderId="11" xfId="0" applyNumberFormat="1" applyFont="1" applyBorder="1"/>
    <xf numFmtId="37" fontId="4" fillId="0" borderId="1" xfId="0" applyNumberFormat="1" applyFont="1" applyFill="1" applyBorder="1"/>
    <xf numFmtId="0" fontId="4" fillId="0" borderId="0" xfId="0" applyNumberFormat="1" applyFont="1" applyAlignment="1"/>
    <xf numFmtId="4" fontId="4" fillId="0" borderId="0" xfId="0" applyNumberFormat="1" applyFont="1" applyAlignment="1">
      <alignment horizontal="right"/>
    </xf>
    <xf numFmtId="0" fontId="4" fillId="0" borderId="0" xfId="0" applyNumberFormat="1" applyFont="1" applyAlignment="1">
      <alignment horizontal="right"/>
    </xf>
    <xf numFmtId="0" fontId="4" fillId="0" borderId="0" xfId="0" applyFont="1" applyBorder="1"/>
    <xf numFmtId="40" fontId="4" fillId="0" borderId="0" xfId="0" applyNumberFormat="1" applyFont="1"/>
    <xf numFmtId="40" fontId="5" fillId="0" borderId="0" xfId="0" applyNumberFormat="1" applyFont="1"/>
    <xf numFmtId="0" fontId="4" fillId="0" borderId="0" xfId="0" applyFont="1" applyFill="1" applyAlignment="1"/>
    <xf numFmtId="37" fontId="4" fillId="0" borderId="1" xfId="0" applyNumberFormat="1" applyFont="1" applyBorder="1"/>
    <xf numFmtId="0" fontId="4" fillId="0" borderId="0" xfId="0" applyFont="1" applyBorder="1" applyAlignment="1">
      <alignment horizontal="center"/>
    </xf>
    <xf numFmtId="0" fontId="4" fillId="0" borderId="0" xfId="0" applyNumberFormat="1" applyFont="1" applyAlignment="1">
      <alignment horizontal="centerContinuous"/>
    </xf>
    <xf numFmtId="0" fontId="4" fillId="0" borderId="0" xfId="0" applyNumberFormat="1" applyFont="1" applyAlignment="1">
      <alignment horizontal="center"/>
    </xf>
    <xf numFmtId="0" fontId="4" fillId="0" borderId="4" xfId="0" applyFont="1" applyBorder="1" applyAlignment="1">
      <alignment horizontal="center"/>
    </xf>
    <xf numFmtId="166" fontId="4" fillId="0" borderId="0" xfId="1" applyNumberFormat="1" applyFont="1" applyFill="1" applyAlignment="1">
      <alignment horizontal="center"/>
    </xf>
    <xf numFmtId="176" fontId="4" fillId="0" borderId="0" xfId="0" applyNumberFormat="1" applyFont="1" applyFill="1"/>
    <xf numFmtId="166" fontId="4" fillId="0" borderId="0" xfId="1" applyNumberFormat="1" applyFont="1" applyAlignment="1">
      <alignment horizontal="center"/>
    </xf>
    <xf numFmtId="176" fontId="4" fillId="0" borderId="0" xfId="0" applyNumberFormat="1" applyFont="1"/>
    <xf numFmtId="0" fontId="5" fillId="0" borderId="0" xfId="0" applyFont="1" applyAlignment="1">
      <alignment horizontal="right"/>
    </xf>
    <xf numFmtId="0" fontId="4" fillId="0" borderId="12" xfId="0" applyFont="1" applyBorder="1" applyAlignment="1">
      <alignment horizontal="center"/>
    </xf>
    <xf numFmtId="0" fontId="33" fillId="0" borderId="0" xfId="0" applyFont="1"/>
    <xf numFmtId="37" fontId="4" fillId="0" borderId="0" xfId="0" applyNumberFormat="1" applyFont="1" applyFill="1" applyBorder="1" applyAlignment="1">
      <alignment horizontal="center"/>
    </xf>
    <xf numFmtId="37" fontId="4" fillId="0" borderId="0" xfId="5" applyNumberFormat="1" applyFont="1"/>
    <xf numFmtId="37" fontId="4" fillId="0" borderId="1" xfId="1" applyNumberFormat="1" applyFont="1" applyBorder="1"/>
    <xf numFmtId="0" fontId="4" fillId="0" borderId="0" xfId="0" applyFont="1" applyAlignment="1">
      <alignment horizontal="justify"/>
    </xf>
    <xf numFmtId="0" fontId="12" fillId="0" borderId="0" xfId="0" applyFont="1" applyAlignment="1">
      <alignment horizontal="justify"/>
    </xf>
    <xf numFmtId="0" fontId="3" fillId="0" borderId="0" xfId="11" applyFont="1" applyAlignment="1">
      <alignment vertical="top"/>
    </xf>
    <xf numFmtId="0" fontId="3" fillId="0" borderId="0" xfId="11" applyFont="1" applyAlignment="1">
      <alignment horizontal="left" vertical="top"/>
    </xf>
    <xf numFmtId="0" fontId="3" fillId="0" borderId="0" xfId="11" applyFont="1" applyFill="1" applyAlignment="1">
      <alignment horizontal="center" vertical="top"/>
    </xf>
    <xf numFmtId="0" fontId="53" fillId="0" borderId="0" xfId="0" applyFont="1"/>
    <xf numFmtId="3" fontId="4" fillId="0" borderId="0" xfId="1" applyNumberFormat="1" applyFont="1" applyAlignment="1">
      <alignment horizontal="center"/>
    </xf>
    <xf numFmtId="40" fontId="2" fillId="0" borderId="0" xfId="0" applyNumberFormat="1" applyFont="1"/>
    <xf numFmtId="186" fontId="4" fillId="0" borderId="0" xfId="0" applyNumberFormat="1" applyFont="1" applyFill="1" applyAlignment="1">
      <alignment horizontal="center"/>
    </xf>
    <xf numFmtId="3" fontId="4" fillId="0" borderId="0" xfId="0" applyNumberFormat="1" applyFont="1" applyAlignment="1">
      <alignment horizontal="center"/>
    </xf>
    <xf numFmtId="37" fontId="44" fillId="0" borderId="11" xfId="0" applyNumberFormat="1" applyFont="1" applyBorder="1"/>
    <xf numFmtId="175" fontId="44" fillId="0" borderId="11" xfId="0" applyNumberFormat="1" applyFont="1" applyBorder="1"/>
    <xf numFmtId="37" fontId="41" fillId="0" borderId="6" xfId="5" applyNumberFormat="1" applyFont="1" applyBorder="1" applyAlignment="1">
      <alignment vertical="top"/>
    </xf>
    <xf numFmtId="166" fontId="3" fillId="0" borderId="0" xfId="0" applyNumberFormat="1" applyFont="1"/>
    <xf numFmtId="0" fontId="3" fillId="0" borderId="0" xfId="11" applyFont="1" applyFill="1" applyAlignment="1">
      <alignment horizontal="left" vertical="top"/>
    </xf>
    <xf numFmtId="0" fontId="0" fillId="0" borderId="0" xfId="0" applyAlignment="1"/>
    <xf numFmtId="2" fontId="4" fillId="0" borderId="0" xfId="0" applyNumberFormat="1" applyFont="1" applyAlignment="1"/>
    <xf numFmtId="2" fontId="9" fillId="0" borderId="0" xfId="0" applyNumberFormat="1" applyFont="1" applyAlignment="1"/>
    <xf numFmtId="2" fontId="59" fillId="0" borderId="0" xfId="0" applyNumberFormat="1" applyFont="1" applyAlignment="1"/>
    <xf numFmtId="2" fontId="4" fillId="0" borderId="0" xfId="0" applyNumberFormat="1" applyFont="1" applyAlignment="1">
      <alignment horizontal="center"/>
    </xf>
    <xf numFmtId="2" fontId="12" fillId="0" borderId="0" xfId="0" applyNumberFormat="1" applyFont="1" applyAlignment="1">
      <alignment horizontal="right"/>
    </xf>
    <xf numFmtId="1" fontId="4" fillId="0" borderId="0" xfId="0" applyNumberFormat="1" applyFont="1" applyAlignment="1">
      <alignment horizontal="center"/>
    </xf>
    <xf numFmtId="2" fontId="4" fillId="0" borderId="0" xfId="0" applyNumberFormat="1" applyFont="1" applyAlignment="1">
      <alignment horizontal="left"/>
    </xf>
    <xf numFmtId="2" fontId="59" fillId="0" borderId="0" xfId="0" applyNumberFormat="1" applyFont="1" applyAlignment="1">
      <alignment horizontal="right"/>
    </xf>
    <xf numFmtId="0" fontId="12" fillId="0" borderId="0" xfId="0" applyNumberFormat="1" applyFont="1" applyAlignment="1">
      <alignment horizontal="left"/>
    </xf>
    <xf numFmtId="0" fontId="10" fillId="0" borderId="0" xfId="0" applyNumberFormat="1" applyFont="1" applyFill="1" applyAlignment="1"/>
    <xf numFmtId="0" fontId="10" fillId="0" borderId="0" xfId="0" applyNumberFormat="1" applyFont="1" applyAlignment="1">
      <alignment horizontal="left"/>
    </xf>
    <xf numFmtId="0" fontId="1" fillId="0" borderId="0" xfId="0" applyFont="1"/>
    <xf numFmtId="0" fontId="1" fillId="0" borderId="0" xfId="0" applyFont="1" applyAlignment="1">
      <alignment horizontal="center"/>
    </xf>
    <xf numFmtId="1" fontId="4" fillId="0" borderId="0" xfId="1" applyNumberFormat="1" applyFont="1" applyFill="1" applyAlignment="1">
      <alignment horizontal="left"/>
    </xf>
    <xf numFmtId="166" fontId="1" fillId="0" borderId="0" xfId="1" applyNumberFormat="1" applyFont="1" applyAlignment="1">
      <alignment horizontal="center"/>
    </xf>
    <xf numFmtId="1" fontId="4" fillId="0" borderId="0" xfId="1" applyNumberFormat="1" applyFont="1" applyFill="1" applyAlignment="1">
      <alignment horizontal="center"/>
    </xf>
    <xf numFmtId="0" fontId="10" fillId="0" borderId="0" xfId="0" applyFont="1" applyFill="1"/>
    <xf numFmtId="10" fontId="8" fillId="0" borderId="6" xfId="0" applyNumberFormat="1" applyFont="1" applyBorder="1"/>
    <xf numFmtId="0" fontId="8" fillId="0" borderId="11" xfId="0" applyFont="1" applyBorder="1" applyAlignment="1">
      <alignment horizontal="left"/>
    </xf>
    <xf numFmtId="43" fontId="4" fillId="0" borderId="0" xfId="0" applyNumberFormat="1" applyFont="1" applyAlignment="1">
      <alignment horizontal="center"/>
    </xf>
    <xf numFmtId="0" fontId="12" fillId="0" borderId="0" xfId="0" applyFont="1" applyFill="1"/>
    <xf numFmtId="39" fontId="4" fillId="0" borderId="0" xfId="0" applyNumberFormat="1" applyFont="1"/>
    <xf numFmtId="2" fontId="4" fillId="0" borderId="0" xfId="0" applyNumberFormat="1" applyFont="1" applyAlignment="1">
      <alignment horizontal="right"/>
    </xf>
    <xf numFmtId="2" fontId="59" fillId="0" borderId="0" xfId="0" applyNumberFormat="1" applyFont="1" applyAlignment="1">
      <alignment horizontal="center"/>
    </xf>
    <xf numFmtId="2" fontId="4" fillId="0" borderId="1" xfId="0" applyNumberFormat="1" applyFont="1" applyBorder="1" applyAlignment="1">
      <alignment horizontal="center" wrapText="1"/>
    </xf>
    <xf numFmtId="2" fontId="4" fillId="0" borderId="4" xfId="0" applyNumberFormat="1" applyFont="1" applyBorder="1" applyAlignment="1">
      <alignment horizontal="center" wrapText="1"/>
    </xf>
    <xf numFmtId="0" fontId="28" fillId="0" borderId="0" xfId="0" applyNumberFormat="1" applyFont="1" applyBorder="1" applyAlignment="1"/>
    <xf numFmtId="2" fontId="4" fillId="0" borderId="4" xfId="0" applyNumberFormat="1" applyFont="1" applyBorder="1" applyAlignment="1">
      <alignment horizontal="center"/>
    </xf>
    <xf numFmtId="2" fontId="4" fillId="0" borderId="0" xfId="0" applyNumberFormat="1" applyFont="1" applyBorder="1" applyAlignment="1">
      <alignment horizontal="centerContinuous"/>
    </xf>
    <xf numFmtId="0" fontId="0" fillId="0" borderId="0" xfId="0" applyBorder="1" applyAlignment="1">
      <alignment horizontal="centerContinuous"/>
    </xf>
    <xf numFmtId="0" fontId="28" fillId="0" borderId="0" xfId="0" applyNumberFormat="1" applyFont="1" applyAlignment="1">
      <alignment horizontal="centerContinuous"/>
    </xf>
    <xf numFmtId="0" fontId="28" fillId="0" borderId="4" xfId="0" applyNumberFormat="1" applyFont="1" applyBorder="1" applyAlignment="1"/>
    <xf numFmtId="166" fontId="20" fillId="0" borderId="0" xfId="1" applyNumberFormat="1" applyFont="1" applyFill="1" applyAlignment="1">
      <alignment horizontal="center"/>
    </xf>
    <xf numFmtId="14" fontId="0" fillId="0" borderId="0" xfId="1" applyNumberFormat="1" applyFont="1" applyFill="1"/>
    <xf numFmtId="14" fontId="0" fillId="0" borderId="0" xfId="0" applyNumberFormat="1" applyFill="1"/>
    <xf numFmtId="41" fontId="0" fillId="0" borderId="0" xfId="1" applyNumberFormat="1" applyFont="1" applyFill="1"/>
    <xf numFmtId="0" fontId="4" fillId="0" borderId="0" xfId="0" applyNumberFormat="1" applyFont="1" applyFill="1" applyAlignment="1"/>
    <xf numFmtId="3" fontId="3" fillId="0" borderId="0" xfId="11" applyNumberFormat="1" applyFont="1" applyFill="1"/>
    <xf numFmtId="0" fontId="0" fillId="0" borderId="0" xfId="0" applyAlignment="1">
      <alignment vertical="top" wrapText="1"/>
    </xf>
    <xf numFmtId="4" fontId="28" fillId="0" borderId="0" xfId="0" applyNumberFormat="1" applyFont="1" applyAlignment="1"/>
    <xf numFmtId="4" fontId="4" fillId="0" borderId="0" xfId="0" applyNumberFormat="1" applyFont="1" applyAlignment="1"/>
    <xf numFmtId="39" fontId="4" fillId="0" borderId="0" xfId="0" applyNumberFormat="1" applyFont="1" applyAlignment="1"/>
    <xf numFmtId="37" fontId="4" fillId="0" borderId="0" xfId="0" applyNumberFormat="1" applyFont="1" applyAlignment="1">
      <alignment horizontal="center" vertical="top"/>
    </xf>
    <xf numFmtId="0" fontId="7" fillId="0" borderId="0" xfId="11" applyFont="1" applyFill="1" applyAlignment="1">
      <alignment horizontal="right" vertical="top"/>
    </xf>
    <xf numFmtId="49" fontId="7" fillId="0" borderId="0" xfId="0" applyNumberFormat="1" applyFont="1" applyFill="1" applyAlignment="1">
      <alignment vertical="top"/>
    </xf>
    <xf numFmtId="0" fontId="7" fillId="0" borderId="0" xfId="11" applyFont="1" applyFill="1" applyAlignment="1">
      <alignment horizontal="center" vertical="top"/>
    </xf>
    <xf numFmtId="41" fontId="7" fillId="0" borderId="0" xfId="11" applyNumberFormat="1" applyFont="1" applyFill="1" applyAlignment="1">
      <alignment vertical="top"/>
    </xf>
    <xf numFmtId="0" fontId="18" fillId="0" borderId="0" xfId="0" applyFont="1" applyFill="1"/>
    <xf numFmtId="168" fontId="18" fillId="0" borderId="0" xfId="20" applyNumberFormat="1" applyFont="1" applyFill="1"/>
    <xf numFmtId="43" fontId="18" fillId="0" borderId="0" xfId="11" applyNumberFormat="1" applyFont="1" applyFill="1" applyAlignment="1">
      <alignment horizontal="right" vertical="top"/>
    </xf>
    <xf numFmtId="4" fontId="28" fillId="0" borderId="0" xfId="0" applyNumberFormat="1" applyFont="1" applyBorder="1" applyAlignment="1"/>
    <xf numFmtId="0" fontId="52" fillId="0" borderId="0" xfId="0" applyNumberFormat="1" applyFont="1" applyBorder="1" applyAlignment="1"/>
    <xf numFmtId="0" fontId="4" fillId="0" borderId="0" xfId="0" applyNumberFormat="1" applyFont="1" applyBorder="1" applyAlignment="1"/>
    <xf numFmtId="4" fontId="4" fillId="0" borderId="0" xfId="0" applyNumberFormat="1" applyFont="1" applyBorder="1" applyAlignment="1"/>
    <xf numFmtId="0" fontId="12" fillId="0" borderId="0" xfId="0" applyNumberFormat="1" applyFont="1" applyBorder="1" applyAlignment="1"/>
    <xf numFmtId="4" fontId="12" fillId="0" borderId="0" xfId="0" applyNumberFormat="1" applyFont="1" applyBorder="1" applyAlignment="1">
      <alignment horizontal="right"/>
    </xf>
    <xf numFmtId="0" fontId="12" fillId="0" borderId="0" xfId="0" applyNumberFormat="1" applyFont="1" applyBorder="1" applyAlignment="1">
      <alignment horizontal="right"/>
    </xf>
    <xf numFmtId="2" fontId="4" fillId="0" borderId="0" xfId="0" applyNumberFormat="1" applyFont="1" applyBorder="1" applyAlignment="1"/>
    <xf numFmtId="2" fontId="12" fillId="0" borderId="0" xfId="0" applyNumberFormat="1" applyFont="1" applyBorder="1" applyAlignment="1"/>
    <xf numFmtId="0" fontId="4" fillId="0" borderId="0" xfId="0" applyNumberFormat="1" applyFont="1" applyBorder="1" applyAlignment="1">
      <alignment horizontal="left"/>
    </xf>
    <xf numFmtId="0" fontId="4" fillId="0" borderId="0" xfId="0" applyNumberFormat="1" applyFont="1" applyBorder="1" applyAlignment="1">
      <alignment horizontal="right"/>
    </xf>
    <xf numFmtId="4" fontId="12" fillId="0" borderId="0" xfId="0" applyNumberFormat="1" applyFont="1" applyBorder="1" applyAlignment="1"/>
    <xf numFmtId="0" fontId="4" fillId="0" borderId="0" xfId="0" applyFont="1" applyBorder="1" applyAlignment="1">
      <alignment vertical="center"/>
    </xf>
    <xf numFmtId="4" fontId="4" fillId="0" borderId="0" xfId="0" applyNumberFormat="1" applyFont="1" applyBorder="1" applyAlignment="1">
      <alignment vertical="center"/>
    </xf>
    <xf numFmtId="0" fontId="4" fillId="0" borderId="0" xfId="0" applyNumberFormat="1" applyFont="1" applyBorder="1" applyAlignment="1">
      <alignment vertical="center"/>
    </xf>
    <xf numFmtId="4" fontId="3" fillId="0" borderId="0" xfId="11" applyNumberFormat="1" applyFont="1" applyFill="1" applyAlignment="1">
      <alignment horizontal="left"/>
    </xf>
    <xf numFmtId="0" fontId="3" fillId="0" borderId="0" xfId="11" applyFont="1" applyFill="1" applyBorder="1" applyAlignment="1">
      <alignment horizontal="center" vertical="top"/>
    </xf>
    <xf numFmtId="0" fontId="4" fillId="0" borderId="0" xfId="0" applyNumberFormat="1" applyFont="1" applyBorder="1" applyAlignment="1">
      <alignment horizontal="center"/>
    </xf>
    <xf numFmtId="4" fontId="4" fillId="0" borderId="0" xfId="0" applyNumberFormat="1" applyFont="1" applyBorder="1" applyAlignment="1">
      <alignment horizontal="center"/>
    </xf>
    <xf numFmtId="49" fontId="4" fillId="0" borderId="0" xfId="0" applyNumberFormat="1" applyFont="1" applyBorder="1" applyAlignment="1">
      <alignment horizontal="center"/>
    </xf>
    <xf numFmtId="0" fontId="18" fillId="0" borderId="0" xfId="0" applyFont="1" applyAlignment="1">
      <alignment horizontal="center"/>
    </xf>
    <xf numFmtId="0" fontId="12" fillId="0" borderId="0" xfId="0" applyFont="1" applyFill="1" applyAlignment="1">
      <alignment horizontal="center"/>
    </xf>
    <xf numFmtId="2" fontId="28" fillId="0" borderId="0" xfId="0" applyNumberFormat="1" applyFont="1" applyAlignment="1"/>
    <xf numFmtId="2" fontId="4" fillId="0" borderId="0" xfId="0" applyNumberFormat="1" applyFont="1" applyFill="1" applyAlignment="1"/>
    <xf numFmtId="40" fontId="4" fillId="0" borderId="0" xfId="0" applyNumberFormat="1" applyFont="1" applyFill="1"/>
    <xf numFmtId="2" fontId="2" fillId="0" borderId="0" xfId="0" applyNumberFormat="1" applyFont="1" applyAlignment="1"/>
    <xf numFmtId="2" fontId="4" fillId="0" borderId="0" xfId="0" applyNumberFormat="1" applyFont="1" applyFill="1" applyAlignment="1">
      <alignment horizontal="right"/>
    </xf>
    <xf numFmtId="39" fontId="4" fillId="0" borderId="0" xfId="0" applyNumberFormat="1" applyFont="1" applyFill="1" applyAlignment="1"/>
    <xf numFmtId="2" fontId="0" fillId="0" borderId="0" xfId="0" applyNumberFormat="1" applyAlignment="1">
      <alignment vertical="top" wrapText="1"/>
    </xf>
    <xf numFmtId="2" fontId="97" fillId="0" borderId="0" xfId="0" applyNumberFormat="1" applyFont="1" applyFill="1" applyAlignment="1"/>
    <xf numFmtId="14" fontId="29" fillId="0" borderId="0" xfId="0" applyNumberFormat="1" applyFont="1" applyFill="1" applyBorder="1" applyAlignment="1">
      <alignment horizontal="center"/>
    </xf>
    <xf numFmtId="0" fontId="3" fillId="0" borderId="0" xfId="0" applyFont="1" applyFill="1" applyAlignment="1">
      <alignment horizontal="center" vertical="top"/>
    </xf>
    <xf numFmtId="43" fontId="4" fillId="0" borderId="0" xfId="1" applyFont="1" applyFill="1" applyAlignment="1"/>
    <xf numFmtId="0" fontId="4" fillId="0" borderId="0" xfId="0" applyNumberFormat="1" applyFont="1" applyFill="1" applyAlignment="1">
      <alignment horizontal="center"/>
    </xf>
    <xf numFmtId="0" fontId="12" fillId="0" borderId="0" xfId="0" applyNumberFormat="1" applyFont="1" applyFill="1" applyAlignment="1">
      <alignment horizontal="center"/>
    </xf>
    <xf numFmtId="0" fontId="5" fillId="0" borderId="0" xfId="0" applyFont="1" applyFill="1" applyAlignment="1">
      <alignment horizontal="left"/>
    </xf>
    <xf numFmtId="0" fontId="67" fillId="0" borderId="0" xfId="0" applyNumberFormat="1" applyFont="1" applyFill="1" applyAlignment="1"/>
    <xf numFmtId="0" fontId="5" fillId="0" borderId="0" xfId="0" applyNumberFormat="1" applyFont="1" applyFill="1" applyAlignment="1">
      <alignment horizontal="left"/>
    </xf>
    <xf numFmtId="43" fontId="28" fillId="0" borderId="0" xfId="1" applyFont="1" applyFill="1" applyAlignment="1"/>
    <xf numFmtId="0" fontId="64" fillId="0" borderId="0" xfId="0" applyNumberFormat="1" applyFont="1" applyFill="1" applyAlignment="1"/>
    <xf numFmtId="0" fontId="5" fillId="0" borderId="0" xfId="0" applyNumberFormat="1" applyFont="1" applyFill="1" applyAlignment="1"/>
    <xf numFmtId="0" fontId="28" fillId="0" borderId="0" xfId="0" applyNumberFormat="1" applyFont="1" applyFill="1" applyAlignment="1"/>
    <xf numFmtId="0" fontId="28" fillId="0" borderId="0" xfId="0" applyNumberFormat="1" applyFont="1" applyFill="1" applyBorder="1" applyAlignment="1"/>
    <xf numFmtId="0" fontId="4" fillId="0" borderId="0" xfId="0" applyFont="1" applyFill="1" applyBorder="1"/>
    <xf numFmtId="4" fontId="4" fillId="0" borderId="0" xfId="0" applyNumberFormat="1" applyFont="1" applyFill="1" applyBorder="1" applyAlignment="1"/>
    <xf numFmtId="0" fontId="4" fillId="0" borderId="0" xfId="0" applyNumberFormat="1" applyFont="1" applyFill="1" applyBorder="1" applyAlignment="1"/>
    <xf numFmtId="0" fontId="5" fillId="0" borderId="0" xfId="0" applyNumberFormat="1" applyFont="1" applyFill="1" applyAlignment="1">
      <alignment horizontal="center"/>
    </xf>
    <xf numFmtId="43" fontId="64" fillId="0" borderId="0" xfId="1" applyFont="1" applyFill="1" applyAlignment="1"/>
    <xf numFmtId="166" fontId="18" fillId="0" borderId="0" xfId="1" applyNumberFormat="1" applyFont="1"/>
    <xf numFmtId="10" fontId="18" fillId="0" borderId="0" xfId="0" applyNumberFormat="1" applyFont="1"/>
    <xf numFmtId="168" fontId="18" fillId="0" borderId="0" xfId="0" applyNumberFormat="1" applyFont="1"/>
    <xf numFmtId="41" fontId="18" fillId="0" borderId="0" xfId="1" applyNumberFormat="1" applyFont="1"/>
    <xf numFmtId="41" fontId="18" fillId="0" borderId="0" xfId="0" applyNumberFormat="1" applyFont="1"/>
    <xf numFmtId="3" fontId="4" fillId="0" borderId="0" xfId="0" applyNumberFormat="1" applyFont="1" applyFill="1"/>
    <xf numFmtId="0" fontId="4" fillId="0" borderId="0" xfId="0" applyFont="1" applyFill="1" applyAlignment="1">
      <alignment horizontal="center"/>
    </xf>
    <xf numFmtId="0" fontId="4" fillId="0" borderId="0" xfId="0" applyFont="1" applyFill="1" applyAlignment="1">
      <alignment horizontal="left"/>
    </xf>
    <xf numFmtId="43" fontId="0" fillId="0" borderId="0" xfId="1" applyFont="1" applyFill="1" applyBorder="1" applyAlignment="1">
      <alignment horizontal="center"/>
    </xf>
    <xf numFmtId="0" fontId="12" fillId="0" borderId="0" xfId="0" applyNumberFormat="1" applyFont="1" applyFill="1" applyAlignment="1">
      <alignment horizontal="right"/>
    </xf>
    <xf numFmtId="43" fontId="60" fillId="0" borderId="0" xfId="1" applyFont="1" applyFill="1" applyAlignment="1">
      <alignment horizontal="right"/>
    </xf>
    <xf numFmtId="43" fontId="12" fillId="0" borderId="0" xfId="1" applyFont="1" applyFill="1" applyAlignment="1">
      <alignment horizontal="right"/>
    </xf>
    <xf numFmtId="43" fontId="4" fillId="0" borderId="1" xfId="1" applyFont="1" applyFill="1" applyBorder="1" applyAlignment="1"/>
    <xf numFmtId="43" fontId="5" fillId="0" borderId="0" xfId="1" applyFont="1" applyFill="1" applyAlignment="1"/>
    <xf numFmtId="2" fontId="2" fillId="0" borderId="0" xfId="0" applyNumberFormat="1" applyFont="1" applyFill="1" applyAlignment="1"/>
    <xf numFmtId="2" fontId="59" fillId="0" borderId="0" xfId="0" applyNumberFormat="1" applyFont="1" applyFill="1" applyAlignment="1"/>
    <xf numFmtId="43" fontId="59" fillId="0" borderId="0" xfId="1" applyFont="1" applyFill="1" applyAlignment="1"/>
    <xf numFmtId="0" fontId="4" fillId="0" borderId="0" xfId="0" applyNumberFormat="1" applyFont="1" applyFill="1" applyAlignment="1">
      <alignment horizontal="right"/>
    </xf>
    <xf numFmtId="43" fontId="28" fillId="0" borderId="0" xfId="1" applyFont="1" applyFill="1" applyAlignment="1">
      <alignment horizontal="center"/>
    </xf>
    <xf numFmtId="43" fontId="28" fillId="0" borderId="1" xfId="1" applyFont="1" applyFill="1" applyBorder="1" applyAlignment="1"/>
    <xf numFmtId="43" fontId="28" fillId="0" borderId="0" xfId="1" applyFont="1" applyFill="1" applyAlignment="1">
      <alignment horizontal="right"/>
    </xf>
    <xf numFmtId="0" fontId="21" fillId="3" borderId="0" xfId="0" applyFont="1" applyFill="1"/>
    <xf numFmtId="170" fontId="18" fillId="0" borderId="0" xfId="5" applyNumberFormat="1" applyFont="1"/>
    <xf numFmtId="44" fontId="5" fillId="0" borderId="0" xfId="0" applyNumberFormat="1" applyFont="1" applyBorder="1"/>
    <xf numFmtId="0" fontId="4" fillId="0" borderId="0" xfId="0" applyFont="1" applyFill="1" applyAlignment="1">
      <alignment vertical="top" wrapText="1"/>
    </xf>
    <xf numFmtId="37" fontId="4" fillId="0" borderId="0" xfId="5" applyNumberFormat="1" applyFont="1" applyFill="1" applyAlignment="1">
      <alignment horizontal="right"/>
    </xf>
    <xf numFmtId="3" fontId="4" fillId="0" borderId="0" xfId="0" applyNumberFormat="1" applyFont="1" applyFill="1" applyAlignment="1">
      <alignment horizontal="center"/>
    </xf>
    <xf numFmtId="0" fontId="3" fillId="0" borderId="0" xfId="0" applyFont="1" applyFill="1"/>
    <xf numFmtId="3" fontId="12" fillId="0" borderId="0" xfId="0" applyNumberFormat="1" applyFont="1" applyFill="1" applyAlignment="1">
      <alignment horizontal="right"/>
    </xf>
    <xf numFmtId="0" fontId="21" fillId="0" borderId="0" xfId="0" applyFont="1" applyFill="1"/>
    <xf numFmtId="169" fontId="3" fillId="0" borderId="0" xfId="0" applyNumberFormat="1" applyFont="1" applyFill="1"/>
    <xf numFmtId="0" fontId="39" fillId="0" borderId="0" xfId="0" applyFont="1" applyFill="1"/>
    <xf numFmtId="3" fontId="21" fillId="0" borderId="0" xfId="0" applyNumberFormat="1" applyFont="1" applyFill="1" applyBorder="1"/>
    <xf numFmtId="0" fontId="21" fillId="0" borderId="0" xfId="0" applyFont="1" applyFill="1" applyBorder="1"/>
    <xf numFmtId="0" fontId="44" fillId="0" borderId="0" xfId="0" applyFont="1" applyFill="1"/>
    <xf numFmtId="2" fontId="4" fillId="0" borderId="0" xfId="0" applyNumberFormat="1" applyFont="1" applyBorder="1" applyAlignment="1">
      <alignment horizontal="center"/>
    </xf>
    <xf numFmtId="2" fontId="4" fillId="0" borderId="0" xfId="0" applyNumberFormat="1" applyFont="1" applyBorder="1" applyAlignment="1">
      <alignment horizontal="center" wrapText="1"/>
    </xf>
    <xf numFmtId="2" fontId="9" fillId="0" borderId="0" xfId="0" applyNumberFormat="1" applyFont="1" applyAlignment="1">
      <alignment horizontal="centerContinuous"/>
    </xf>
    <xf numFmtId="2" fontId="98" fillId="0" borderId="0" xfId="0" applyNumberFormat="1" applyFont="1" applyAlignment="1"/>
    <xf numFmtId="2" fontId="98" fillId="0" borderId="0" xfId="0" applyNumberFormat="1" applyFont="1" applyAlignment="1">
      <alignment horizontal="left"/>
    </xf>
    <xf numFmtId="2" fontId="98" fillId="0" borderId="0" xfId="0" applyNumberFormat="1" applyFont="1" applyAlignment="1">
      <alignment horizontal="right"/>
    </xf>
    <xf numFmtId="2" fontId="4" fillId="0" borderId="0" xfId="0" applyNumberFormat="1" applyFont="1" applyBorder="1" applyAlignment="1">
      <alignment horizontal="right"/>
    </xf>
    <xf numFmtId="188" fontId="4" fillId="0" borderId="1" xfId="17" applyFont="1" applyFill="1" applyBorder="1" applyAlignment="1" applyProtection="1">
      <alignment horizontal="center" wrapText="1"/>
    </xf>
    <xf numFmtId="188" fontId="4" fillId="0" borderId="0" xfId="17" applyFont="1" applyFill="1" applyAlignment="1" applyProtection="1">
      <alignment horizontal="center"/>
    </xf>
    <xf numFmtId="188" fontId="4" fillId="0" borderId="0" xfId="17" applyFont="1" applyFill="1" applyAlignment="1" applyProtection="1">
      <alignment horizontal="left"/>
    </xf>
    <xf numFmtId="188" fontId="4" fillId="0" borderId="0" xfId="17" applyFont="1" applyFill="1" applyProtection="1"/>
    <xf numFmtId="37" fontId="4" fillId="0" borderId="1" xfId="1" applyNumberFormat="1" applyFont="1" applyFill="1" applyBorder="1"/>
    <xf numFmtId="37" fontId="4" fillId="0" borderId="6" xfId="0" applyNumberFormat="1" applyFont="1" applyFill="1" applyBorder="1"/>
    <xf numFmtId="182" fontId="4" fillId="0" borderId="1" xfId="0" applyNumberFormat="1" applyFont="1" applyBorder="1" applyAlignment="1">
      <alignment horizontal="center"/>
    </xf>
    <xf numFmtId="49" fontId="4" fillId="0" borderId="1" xfId="0" applyNumberFormat="1" applyFont="1" applyBorder="1" applyAlignment="1">
      <alignment horizontal="center"/>
    </xf>
    <xf numFmtId="0" fontId="4" fillId="0" borderId="0" xfId="0" applyFont="1" applyAlignment="1">
      <alignment horizontal="left" vertical="top" wrapText="1"/>
    </xf>
    <xf numFmtId="0" fontId="3" fillId="0" borderId="0" xfId="11" applyFont="1" applyFill="1" applyBorder="1"/>
    <xf numFmtId="0" fontId="4" fillId="0" borderId="0" xfId="0" quotePrefix="1" applyFont="1" applyAlignment="1">
      <alignment horizontal="right" vertical="top"/>
    </xf>
    <xf numFmtId="0" fontId="7" fillId="0" borderId="0" xfId="11" applyFont="1" applyFill="1" applyAlignment="1">
      <alignment horizontal="center"/>
    </xf>
    <xf numFmtId="0" fontId="7" fillId="0" borderId="0" xfId="11" applyFont="1" applyFill="1" applyBorder="1" applyAlignment="1">
      <alignment horizontal="center"/>
    </xf>
    <xf numFmtId="0" fontId="7" fillId="0" borderId="0" xfId="0" applyFont="1" applyBorder="1" applyAlignment="1">
      <alignment horizontal="center"/>
    </xf>
    <xf numFmtId="0" fontId="7" fillId="0" borderId="1" xfId="11" applyFont="1" applyFill="1" applyBorder="1" applyAlignment="1">
      <alignment horizontal="center"/>
    </xf>
    <xf numFmtId="0" fontId="14" fillId="0" borderId="0" xfId="11" applyFont="1" applyFill="1" applyAlignment="1">
      <alignment horizontal="center"/>
    </xf>
    <xf numFmtId="41" fontId="3" fillId="0" borderId="0" xfId="11" applyNumberFormat="1" applyFont="1" applyFill="1"/>
    <xf numFmtId="0" fontId="3" fillId="0" borderId="0" xfId="0" applyFont="1" applyFill="1" applyAlignment="1">
      <alignment horizontal="right" vertical="top"/>
    </xf>
    <xf numFmtId="1" fontId="3" fillId="0" borderId="0" xfId="11" applyNumberFormat="1" applyFont="1" applyFill="1" applyBorder="1" applyAlignment="1">
      <alignment horizontal="right" vertical="top"/>
    </xf>
    <xf numFmtId="0" fontId="14" fillId="0" borderId="0" xfId="11" applyFont="1" applyFill="1"/>
    <xf numFmtId="9" fontId="7" fillId="0" borderId="0" xfId="11" applyNumberFormat="1" applyFont="1" applyFill="1" applyAlignment="1">
      <alignment horizontal="center"/>
    </xf>
    <xf numFmtId="1" fontId="3" fillId="0" borderId="0" xfId="11" applyNumberFormat="1" applyFont="1" applyFill="1" applyAlignment="1">
      <alignment horizontal="right"/>
    </xf>
    <xf numFmtId="0" fontId="12" fillId="0" borderId="0" xfId="0" applyFont="1" applyBorder="1"/>
    <xf numFmtId="0" fontId="3" fillId="0" borderId="0" xfId="0" applyFont="1" applyFill="1" applyAlignment="1">
      <alignment horizontal="center"/>
    </xf>
    <xf numFmtId="14" fontId="3" fillId="0" borderId="0" xfId="0" applyNumberFormat="1" applyFont="1" applyBorder="1" applyAlignment="1">
      <alignment horizontal="center"/>
    </xf>
    <xf numFmtId="166" fontId="3" fillId="0" borderId="0" xfId="1" applyNumberFormat="1" applyFont="1"/>
    <xf numFmtId="10" fontId="3" fillId="0" borderId="0" xfId="0" applyNumberFormat="1" applyFont="1"/>
    <xf numFmtId="168" fontId="3" fillId="0" borderId="0" xfId="20" applyNumberFormat="1" applyFont="1" applyFill="1"/>
    <xf numFmtId="0" fontId="7" fillId="0" borderId="0" xfId="0" applyFont="1" applyFill="1"/>
    <xf numFmtId="168" fontId="3" fillId="0" borderId="0" xfId="0" applyNumberFormat="1" applyFont="1" applyFill="1"/>
    <xf numFmtId="0" fontId="6" fillId="0" borderId="0" xfId="0" applyFont="1" applyAlignment="1">
      <alignment horizontal="center"/>
    </xf>
    <xf numFmtId="0" fontId="12" fillId="0" borderId="0" xfId="0" applyFont="1" applyFill="1" applyAlignment="1">
      <alignment horizontal="right"/>
    </xf>
    <xf numFmtId="37" fontId="4" fillId="0" borderId="1" xfId="5" applyNumberFormat="1" applyFont="1" applyFill="1" applyBorder="1" applyAlignment="1">
      <alignment horizontal="right"/>
    </xf>
    <xf numFmtId="0" fontId="21" fillId="0" borderId="0" xfId="0" applyFont="1" applyFill="1" applyAlignment="1">
      <alignment horizontal="center"/>
    </xf>
    <xf numFmtId="0" fontId="4" fillId="0" borderId="0" xfId="0" applyFont="1" applyFill="1" applyAlignment="1">
      <alignment horizontal="center" vertical="top"/>
    </xf>
    <xf numFmtId="0" fontId="4" fillId="0" borderId="0" xfId="0" applyFont="1" applyFill="1" applyAlignment="1">
      <alignment vertical="top"/>
    </xf>
    <xf numFmtId="0" fontId="21" fillId="0" borderId="0" xfId="0" applyFont="1" applyFill="1" applyAlignment="1">
      <alignment vertical="top"/>
    </xf>
    <xf numFmtId="0" fontId="4" fillId="0" borderId="0" xfId="0" applyFont="1" applyFill="1" applyAlignment="1">
      <alignment horizontal="left" vertical="top" wrapText="1"/>
    </xf>
    <xf numFmtId="0" fontId="4" fillId="0" borderId="0" xfId="0" applyFont="1" applyFill="1" applyAlignment="1">
      <alignment horizontal="right"/>
    </xf>
    <xf numFmtId="0" fontId="4" fillId="0" borderId="0" xfId="0" applyFont="1" applyFill="1" applyAlignment="1">
      <alignment horizontal="right" vertical="top"/>
    </xf>
    <xf numFmtId="0" fontId="4" fillId="0" borderId="0" xfId="0" applyFont="1" applyFill="1" applyAlignment="1">
      <alignment wrapText="1"/>
    </xf>
    <xf numFmtId="10" fontId="8" fillId="0" borderId="11" xfId="0" applyNumberFormat="1" applyFont="1" applyFill="1" applyBorder="1"/>
    <xf numFmtId="169" fontId="4" fillId="0" borderId="0" xfId="0" applyNumberFormat="1" applyFont="1" applyFill="1"/>
    <xf numFmtId="0" fontId="10" fillId="0" borderId="0" xfId="0" applyNumberFormat="1" applyFont="1" applyFill="1"/>
    <xf numFmtId="0" fontId="69" fillId="0" borderId="0" xfId="0" applyFont="1" applyFill="1"/>
    <xf numFmtId="0" fontId="72" fillId="0" borderId="0" xfId="0" applyFont="1" applyFill="1" applyAlignment="1">
      <alignment horizontal="right"/>
    </xf>
    <xf numFmtId="169" fontId="69" fillId="0" borderId="0" xfId="0" applyNumberFormat="1" applyFont="1" applyFill="1"/>
    <xf numFmtId="43" fontId="69" fillId="0" borderId="0" xfId="0" applyNumberFormat="1" applyFont="1" applyFill="1"/>
    <xf numFmtId="0" fontId="69" fillId="0" borderId="0" xfId="0" applyNumberFormat="1" applyFont="1" applyFill="1"/>
    <xf numFmtId="39" fontId="4" fillId="0" borderId="0" xfId="0" applyNumberFormat="1" applyFont="1" applyFill="1"/>
    <xf numFmtId="4" fontId="23" fillId="0" borderId="0" xfId="0" applyNumberFormat="1" applyFont="1" applyFill="1" applyAlignment="1">
      <alignment horizontal="center"/>
    </xf>
    <xf numFmtId="4" fontId="23" fillId="0" borderId="0" xfId="0" applyNumberFormat="1" applyFont="1" applyFill="1"/>
    <xf numFmtId="0" fontId="23" fillId="0" borderId="0" xfId="0" applyFont="1" applyFill="1"/>
    <xf numFmtId="182" fontId="4" fillId="0" borderId="0" xfId="0" applyNumberFormat="1" applyFont="1" applyFill="1" applyBorder="1" applyAlignment="1">
      <alignment horizontal="center"/>
    </xf>
    <xf numFmtId="181" fontId="4" fillId="0" borderId="0" xfId="1" applyNumberFormat="1" applyFont="1" applyFill="1" applyAlignment="1">
      <alignment horizontal="left" indent="1"/>
    </xf>
    <xf numFmtId="0" fontId="70" fillId="0" borderId="0" xfId="11" applyFont="1" applyFill="1"/>
    <xf numFmtId="41" fontId="8" fillId="0" borderId="0" xfId="0" applyNumberFormat="1" applyFont="1" applyAlignment="1" applyProtection="1"/>
    <xf numFmtId="0" fontId="8" fillId="0" borderId="0" xfId="0" applyNumberFormat="1" applyFont="1" applyAlignment="1" applyProtection="1"/>
    <xf numFmtId="0" fontId="0" fillId="0" borderId="0" xfId="0" applyNumberFormat="1" applyProtection="1"/>
    <xf numFmtId="188" fontId="8" fillId="0" borderId="0" xfId="17" applyFont="1" applyFill="1" applyAlignment="1" applyProtection="1">
      <alignment horizontal="center"/>
    </xf>
    <xf numFmtId="41" fontId="8" fillId="0" borderId="0" xfId="0" applyNumberFormat="1" applyFont="1" applyFill="1" applyAlignment="1" applyProtection="1"/>
    <xf numFmtId="0" fontId="3" fillId="0" borderId="0" xfId="0" applyNumberFormat="1" applyFont="1" applyAlignment="1" applyProtection="1">
      <alignment horizontal="center"/>
    </xf>
    <xf numFmtId="0" fontId="44" fillId="0" borderId="0" xfId="0" applyNumberFormat="1" applyFont="1" applyFill="1" applyAlignment="1" applyProtection="1"/>
    <xf numFmtId="0" fontId="4" fillId="0" borderId="0" xfId="0" applyNumberFormat="1" applyFont="1" applyAlignment="1" applyProtection="1">
      <alignment horizontal="center"/>
    </xf>
    <xf numFmtId="0" fontId="4" fillId="0" borderId="0" xfId="0" applyNumberFormat="1" applyFont="1" applyProtection="1"/>
    <xf numFmtId="0" fontId="4" fillId="0" borderId="1" xfId="0" applyNumberFormat="1" applyFont="1" applyBorder="1" applyAlignment="1" applyProtection="1">
      <alignment horizontal="center"/>
    </xf>
    <xf numFmtId="0" fontId="4" fillId="0" borderId="1" xfId="0" applyNumberFormat="1" applyFont="1" applyBorder="1" applyAlignment="1" applyProtection="1">
      <alignment horizontal="center" wrapText="1"/>
    </xf>
    <xf numFmtId="0" fontId="4" fillId="0" borderId="0" xfId="0" applyNumberFormat="1" applyFont="1" applyBorder="1" applyAlignment="1" applyProtection="1">
      <alignment horizontal="center"/>
    </xf>
    <xf numFmtId="3" fontId="4" fillId="0" borderId="0" xfId="0" applyNumberFormat="1" applyFont="1" applyAlignment="1" applyProtection="1"/>
    <xf numFmtId="0" fontId="4" fillId="0" borderId="0" xfId="0" applyNumberFormat="1" applyFont="1" applyBorder="1" applyAlignment="1" applyProtection="1">
      <alignment horizontal="center" wrapText="1"/>
    </xf>
    <xf numFmtId="3" fontId="4" fillId="0" borderId="0" xfId="0" applyNumberFormat="1" applyFont="1" applyFill="1" applyAlignment="1" applyProtection="1">
      <alignment horizontal="center"/>
    </xf>
    <xf numFmtId="188" fontId="4" fillId="0" borderId="0" xfId="17" applyFont="1" applyBorder="1" applyAlignment="1" applyProtection="1">
      <alignment horizontal="center"/>
    </xf>
    <xf numFmtId="3" fontId="4" fillId="0" borderId="0" xfId="0" applyNumberFormat="1" applyFont="1" applyFill="1" applyAlignment="1" applyProtection="1"/>
    <xf numFmtId="0" fontId="4" fillId="0" borderId="0" xfId="0" applyNumberFormat="1" applyFont="1" applyFill="1" applyAlignment="1" applyProtection="1">
      <alignment horizontal="center"/>
    </xf>
    <xf numFmtId="0" fontId="4" fillId="0" borderId="0" xfId="0" applyNumberFormat="1" applyFont="1" applyFill="1" applyAlignment="1" applyProtection="1"/>
    <xf numFmtId="188" fontId="4" fillId="0" borderId="0" xfId="17" applyFont="1" applyProtection="1"/>
    <xf numFmtId="188" fontId="4" fillId="0" borderId="0" xfId="17" applyFont="1" applyFill="1" applyBorder="1" applyAlignment="1" applyProtection="1">
      <alignment horizontal="center"/>
    </xf>
    <xf numFmtId="0" fontId="4" fillId="0" borderId="0" xfId="0" applyNumberFormat="1" applyFont="1" applyAlignment="1" applyProtection="1"/>
    <xf numFmtId="0" fontId="4" fillId="0" borderId="0" xfId="0" quotePrefix="1" applyNumberFormat="1" applyFont="1" applyAlignment="1" applyProtection="1">
      <alignment horizontal="right"/>
    </xf>
    <xf numFmtId="3" fontId="4" fillId="0" borderId="0" xfId="0" applyNumberFormat="1" applyFont="1" applyAlignment="1" applyProtection="1">
      <alignment horizontal="left"/>
    </xf>
    <xf numFmtId="41" fontId="4" fillId="0" borderId="0" xfId="0" applyNumberFormat="1" applyFont="1" applyFill="1" applyAlignment="1" applyProtection="1">
      <alignment horizontal="center"/>
    </xf>
    <xf numFmtId="170" fontId="4" fillId="0" borderId="0" xfId="5" applyNumberFormat="1" applyFont="1" applyFill="1" applyBorder="1" applyAlignment="1" applyProtection="1"/>
    <xf numFmtId="0" fontId="5" fillId="0" borderId="0" xfId="0" applyNumberFormat="1" applyFont="1" applyProtection="1"/>
    <xf numFmtId="0" fontId="0" fillId="0" borderId="0" xfId="0" applyNumberFormat="1" applyAlignment="1" applyProtection="1">
      <alignment horizontal="center"/>
    </xf>
    <xf numFmtId="170" fontId="4" fillId="4" borderId="0" xfId="5" applyNumberFormat="1" applyFont="1" applyFill="1" applyBorder="1" applyAlignment="1" applyProtection="1">
      <protection locked="0"/>
    </xf>
    <xf numFmtId="166" fontId="4" fillId="4" borderId="0" xfId="1" applyNumberFormat="1" applyFont="1" applyFill="1" applyBorder="1" applyAlignment="1" applyProtection="1">
      <protection locked="0"/>
    </xf>
    <xf numFmtId="166" fontId="4" fillId="4" borderId="0" xfId="1" applyNumberFormat="1" applyFont="1" applyFill="1" applyAlignment="1" applyProtection="1">
      <alignment horizontal="right"/>
      <protection locked="0"/>
    </xf>
    <xf numFmtId="43" fontId="4" fillId="4" borderId="0" xfId="1" applyFont="1" applyFill="1" applyBorder="1" applyAlignment="1" applyProtection="1">
      <protection locked="0"/>
    </xf>
    <xf numFmtId="0" fontId="4" fillId="0" borderId="3" xfId="0" applyNumberFormat="1" applyFont="1" applyFill="1" applyBorder="1" applyProtection="1"/>
    <xf numFmtId="0" fontId="4" fillId="4" borderId="0" xfId="0" applyFont="1" applyFill="1" applyAlignment="1" applyProtection="1">
      <alignment horizontal="left"/>
      <protection locked="0"/>
    </xf>
    <xf numFmtId="37" fontId="4" fillId="4" borderId="0" xfId="0" applyNumberFormat="1" applyFont="1" applyFill="1" applyAlignment="1" applyProtection="1">
      <alignment horizontal="right"/>
      <protection locked="0"/>
    </xf>
    <xf numFmtId="0" fontId="4" fillId="4" borderId="0" xfId="0" applyFont="1" applyFill="1" applyProtection="1">
      <protection locked="0"/>
    </xf>
    <xf numFmtId="37" fontId="4" fillId="4" borderId="1" xfId="0" applyNumberFormat="1" applyFont="1" applyFill="1" applyBorder="1" applyAlignment="1" applyProtection="1">
      <alignment horizontal="right"/>
      <protection locked="0"/>
    </xf>
    <xf numFmtId="0" fontId="3" fillId="0" borderId="0" xfId="11" applyFont="1" applyAlignment="1" applyProtection="1">
      <alignment vertical="top"/>
    </xf>
    <xf numFmtId="0" fontId="21" fillId="0" borderId="0" xfId="11" applyFont="1" applyAlignment="1" applyProtection="1">
      <alignment horizontal="left" vertical="top"/>
    </xf>
    <xf numFmtId="0" fontId="21" fillId="0" borderId="0" xfId="11" applyFont="1" applyAlignment="1" applyProtection="1">
      <alignment vertical="top"/>
    </xf>
    <xf numFmtId="0" fontId="19" fillId="0" borderId="0" xfId="11" applyFont="1" applyAlignment="1" applyProtection="1">
      <alignment vertical="top"/>
    </xf>
    <xf numFmtId="0" fontId="5" fillId="0" borderId="0" xfId="11" applyFont="1" applyFill="1" applyAlignment="1" applyProtection="1">
      <alignment horizontal="center" vertical="top"/>
    </xf>
    <xf numFmtId="0" fontId="5" fillId="0" borderId="0" xfId="11" applyFont="1" applyAlignment="1" applyProtection="1">
      <alignment horizontal="center" vertical="top"/>
    </xf>
    <xf numFmtId="9" fontId="5" fillId="0" borderId="0" xfId="11" applyNumberFormat="1" applyFont="1" applyFill="1" applyAlignment="1" applyProtection="1">
      <alignment horizontal="center" vertical="top"/>
    </xf>
    <xf numFmtId="9" fontId="5" fillId="0" borderId="0" xfId="11" quotePrefix="1" applyNumberFormat="1" applyFont="1" applyFill="1" applyAlignment="1" applyProtection="1">
      <alignment horizontal="center" vertical="top"/>
    </xf>
    <xf numFmtId="0" fontId="4" fillId="0" borderId="0" xfId="11" applyFont="1" applyAlignment="1" applyProtection="1">
      <alignment horizontal="center" vertical="top"/>
    </xf>
    <xf numFmtId="0" fontId="4" fillId="0" borderId="0" xfId="11" applyFont="1" applyFill="1" applyAlignment="1" applyProtection="1">
      <alignment horizontal="center" vertical="top"/>
    </xf>
    <xf numFmtId="37" fontId="4" fillId="0" borderId="0" xfId="11" applyNumberFormat="1" applyFont="1" applyFill="1" applyAlignment="1" applyProtection="1">
      <alignment vertical="top"/>
    </xf>
    <xf numFmtId="0" fontId="4" fillId="0" borderId="0" xfId="11" applyFont="1" applyAlignment="1" applyProtection="1">
      <alignment vertical="top"/>
    </xf>
    <xf numFmtId="0" fontId="18" fillId="0" borderId="0" xfId="11" applyFont="1" applyAlignment="1" applyProtection="1">
      <alignment horizontal="center" vertical="top"/>
    </xf>
    <xf numFmtId="37" fontId="3" fillId="0" borderId="0" xfId="11" applyNumberFormat="1" applyFont="1" applyFill="1" applyAlignment="1" applyProtection="1">
      <alignment horizontal="centerContinuous" vertical="top"/>
    </xf>
    <xf numFmtId="37" fontId="3" fillId="0" borderId="0" xfId="11" applyNumberFormat="1" applyFont="1" applyFill="1" applyAlignment="1" applyProtection="1">
      <alignment vertical="top"/>
    </xf>
    <xf numFmtId="0" fontId="6" fillId="0" borderId="0" xfId="11" applyFont="1" applyAlignment="1" applyProtection="1">
      <alignment horizontal="center" vertical="top"/>
    </xf>
    <xf numFmtId="0" fontId="6" fillId="0" borderId="0" xfId="11" applyFont="1" applyAlignment="1" applyProtection="1">
      <alignment horizontal="right" vertical="top"/>
    </xf>
    <xf numFmtId="0" fontId="6" fillId="0" borderId="0" xfId="11" applyFont="1" applyAlignment="1" applyProtection="1">
      <alignment vertical="top"/>
    </xf>
    <xf numFmtId="0" fontId="14" fillId="0" borderId="0" xfId="11" applyFont="1" applyAlignment="1" applyProtection="1">
      <alignment horizontal="center" vertical="top"/>
    </xf>
    <xf numFmtId="0" fontId="14" fillId="0" borderId="0" xfId="11" applyFont="1" applyFill="1" applyAlignment="1" applyProtection="1">
      <alignment horizontal="center" vertical="top"/>
    </xf>
    <xf numFmtId="0" fontId="3" fillId="0" borderId="0" xfId="11" applyFont="1" applyAlignment="1" applyProtection="1">
      <alignment horizontal="center" vertical="top"/>
    </xf>
    <xf numFmtId="0" fontId="3" fillId="0" borderId="0" xfId="11" applyFont="1" applyFill="1" applyAlignment="1" applyProtection="1">
      <alignment horizontal="center" vertical="top"/>
    </xf>
    <xf numFmtId="0" fontId="3" fillId="0" borderId="0" xfId="11" applyFont="1" applyAlignment="1" applyProtection="1">
      <alignment horizontal="left" vertical="top"/>
    </xf>
    <xf numFmtId="0" fontId="14" fillId="0" borderId="0" xfId="11" applyFont="1" applyAlignment="1" applyProtection="1">
      <alignment vertical="top"/>
    </xf>
    <xf numFmtId="41" fontId="3" fillId="0" borderId="0" xfId="11" applyNumberFormat="1" applyFont="1" applyAlignment="1" applyProtection="1">
      <alignment vertical="top"/>
    </xf>
    <xf numFmtId="41" fontId="3" fillId="0" borderId="0" xfId="11" applyNumberFormat="1" applyFont="1" applyBorder="1" applyAlignment="1" applyProtection="1">
      <alignment vertical="top"/>
    </xf>
    <xf numFmtId="0" fontId="3" fillId="0" borderId="0" xfId="11" applyFont="1" applyFill="1" applyAlignment="1" applyProtection="1">
      <alignment vertical="top"/>
    </xf>
    <xf numFmtId="0" fontId="7" fillId="0" borderId="0" xfId="11" applyFont="1" applyAlignment="1" applyProtection="1">
      <alignment vertical="top"/>
    </xf>
    <xf numFmtId="0" fontId="3" fillId="0" borderId="0" xfId="11" applyFont="1" applyFill="1" applyBorder="1" applyAlignment="1" applyProtection="1">
      <alignment vertical="top"/>
    </xf>
    <xf numFmtId="166" fontId="3" fillId="0" borderId="0" xfId="11" applyNumberFormat="1" applyFont="1" applyAlignment="1" applyProtection="1">
      <alignment vertical="top"/>
    </xf>
    <xf numFmtId="166" fontId="3" fillId="0" borderId="0" xfId="11" applyNumberFormat="1" applyFont="1" applyFill="1" applyAlignment="1" applyProtection="1">
      <alignment vertical="top"/>
    </xf>
    <xf numFmtId="0" fontId="3" fillId="0" borderId="0" xfId="11" applyFont="1" applyBorder="1" applyAlignment="1" applyProtection="1">
      <alignment vertical="top"/>
    </xf>
    <xf numFmtId="37" fontId="3" fillId="0" borderId="0" xfId="11" applyNumberFormat="1" applyFont="1" applyAlignment="1" applyProtection="1">
      <alignment vertical="top"/>
    </xf>
    <xf numFmtId="0" fontId="42" fillId="0" borderId="0" xfId="11" applyFont="1" applyAlignment="1" applyProtection="1">
      <alignment horizontal="left" vertical="top"/>
    </xf>
    <xf numFmtId="0" fontId="3" fillId="0" borderId="0" xfId="11" applyNumberFormat="1" applyFont="1" applyFill="1" applyBorder="1" applyAlignment="1" applyProtection="1">
      <alignment vertical="top"/>
    </xf>
    <xf numFmtId="168" fontId="6" fillId="0" borderId="0" xfId="11" applyNumberFormat="1" applyFont="1" applyFill="1" applyAlignment="1" applyProtection="1">
      <alignment vertical="top"/>
    </xf>
    <xf numFmtId="37" fontId="3" fillId="0" borderId="6" xfId="11" applyNumberFormat="1" applyFont="1" applyFill="1" applyBorder="1" applyAlignment="1" applyProtection="1">
      <alignment vertical="top"/>
    </xf>
    <xf numFmtId="0" fontId="7" fillId="0" borderId="0" xfId="11" applyFont="1" applyFill="1" applyBorder="1" applyAlignment="1" applyProtection="1">
      <alignment horizontal="left" vertical="top"/>
    </xf>
    <xf numFmtId="0" fontId="7" fillId="0" borderId="0" xfId="11" applyFont="1" applyFill="1" applyBorder="1" applyAlignment="1" applyProtection="1">
      <alignment vertical="top"/>
    </xf>
    <xf numFmtId="0" fontId="15" fillId="0" borderId="0" xfId="11" applyFont="1" applyAlignment="1" applyProtection="1">
      <alignment vertical="top"/>
    </xf>
    <xf numFmtId="0" fontId="3" fillId="0" borderId="0" xfId="11" applyFont="1" applyAlignment="1" applyProtection="1">
      <alignment vertical="top" wrapText="1"/>
    </xf>
    <xf numFmtId="0" fontId="50" fillId="0" borderId="0" xfId="11" applyFont="1" applyAlignment="1" applyProtection="1">
      <alignment horizontal="left" vertical="top"/>
    </xf>
    <xf numFmtId="0" fontId="5" fillId="0" borderId="0" xfId="0" applyFont="1" applyAlignment="1" applyProtection="1">
      <alignment horizontal="center" vertical="top"/>
    </xf>
    <xf numFmtId="0" fontId="65" fillId="0" borderId="0" xfId="11" applyFont="1" applyAlignment="1" applyProtection="1">
      <alignment vertical="top" wrapText="1"/>
    </xf>
    <xf numFmtId="41" fontId="3" fillId="0" borderId="0" xfId="11" applyNumberFormat="1" applyFont="1" applyFill="1" applyAlignment="1" applyProtection="1">
      <alignment vertical="top"/>
    </xf>
    <xf numFmtId="41" fontId="3" fillId="0" borderId="0" xfId="1" applyNumberFormat="1" applyFont="1" applyFill="1" applyAlignment="1" applyProtection="1">
      <alignment horizontal="right" vertical="top"/>
    </xf>
    <xf numFmtId="168" fontId="6" fillId="0" borderId="0" xfId="11" applyNumberFormat="1" applyFont="1" applyAlignment="1" applyProtection="1">
      <alignment vertical="top"/>
    </xf>
    <xf numFmtId="0" fontId="5" fillId="0" borderId="0" xfId="0" applyFont="1" applyFill="1" applyAlignment="1" applyProtection="1">
      <alignment horizontal="center" vertical="top"/>
    </xf>
    <xf numFmtId="0" fontId="3" fillId="0" borderId="0" xfId="11" applyFont="1" applyFill="1" applyAlignment="1" applyProtection="1">
      <alignment horizontal="left" vertical="top"/>
    </xf>
    <xf numFmtId="0" fontId="14" fillId="0" borderId="0" xfId="11" applyFont="1" applyFill="1" applyAlignment="1" applyProtection="1">
      <alignment vertical="top"/>
    </xf>
    <xf numFmtId="0" fontId="6" fillId="0" borderId="0" xfId="11" applyFont="1" applyFill="1" applyAlignment="1" applyProtection="1">
      <alignment horizontal="center" vertical="top"/>
    </xf>
    <xf numFmtId="0" fontId="6" fillId="0" borderId="0" xfId="11" applyFont="1" applyFill="1" applyAlignment="1" applyProtection="1">
      <alignment horizontal="right" vertical="top"/>
    </xf>
    <xf numFmtId="0" fontId="6" fillId="0" borderId="0" xfId="11" applyFont="1" applyFill="1" applyAlignment="1" applyProtection="1">
      <alignment vertical="top"/>
    </xf>
    <xf numFmtId="0" fontId="65" fillId="0" borderId="0" xfId="11" applyFont="1" applyFill="1" applyAlignment="1" applyProtection="1">
      <alignment vertical="top" wrapText="1"/>
    </xf>
    <xf numFmtId="41" fontId="3" fillId="0" borderId="0" xfId="11" applyNumberFormat="1" applyFont="1" applyFill="1" applyBorder="1" applyAlignment="1" applyProtection="1">
      <alignment vertical="top"/>
    </xf>
    <xf numFmtId="0" fontId="3" fillId="4" borderId="0" xfId="11" applyFont="1" applyFill="1" applyAlignment="1" applyProtection="1">
      <alignment horizontal="right" vertical="top"/>
      <protection locked="0"/>
    </xf>
    <xf numFmtId="0" fontId="3" fillId="4" borderId="0" xfId="11" applyFont="1" applyFill="1" applyAlignment="1" applyProtection="1">
      <alignment horizontal="left" vertical="top"/>
      <protection locked="0"/>
    </xf>
    <xf numFmtId="41" fontId="3" fillId="4" borderId="0" xfId="11" applyNumberFormat="1" applyFont="1" applyFill="1" applyAlignment="1" applyProtection="1">
      <alignment horizontal="right" vertical="top"/>
      <protection locked="0"/>
    </xf>
    <xf numFmtId="41" fontId="3" fillId="4" borderId="0" xfId="11" applyNumberFormat="1" applyFont="1" applyFill="1" applyAlignment="1" applyProtection="1">
      <alignment horizontal="center" vertical="top"/>
      <protection locked="0"/>
    </xf>
    <xf numFmtId="41" fontId="3" fillId="4" borderId="0" xfId="11" applyNumberFormat="1" applyFont="1" applyFill="1" applyAlignment="1" applyProtection="1">
      <alignment horizontal="left" vertical="top"/>
      <protection locked="0"/>
    </xf>
    <xf numFmtId="41" fontId="3" fillId="4" borderId="0" xfId="11" applyNumberFormat="1" applyFont="1" applyFill="1" applyAlignment="1" applyProtection="1">
      <alignment vertical="top"/>
      <protection locked="0"/>
    </xf>
    <xf numFmtId="41" fontId="3" fillId="4" borderId="0" xfId="11" applyNumberFormat="1" applyFont="1" applyFill="1" applyAlignment="1" applyProtection="1">
      <alignment horizontal="left" vertical="top" wrapText="1"/>
      <protection locked="0"/>
    </xf>
    <xf numFmtId="41" fontId="3" fillId="4" borderId="0" xfId="11" applyNumberFormat="1" applyFont="1" applyFill="1" applyBorder="1" applyAlignment="1" applyProtection="1">
      <alignment horizontal="right" vertical="top"/>
      <protection locked="0"/>
    </xf>
    <xf numFmtId="0" fontId="3" fillId="4" borderId="0" xfId="11" applyFont="1" applyFill="1" applyBorder="1" applyAlignment="1" applyProtection="1">
      <alignment horizontal="right" vertical="top"/>
      <protection locked="0"/>
    </xf>
    <xf numFmtId="41" fontId="3" fillId="4" borderId="0" xfId="11" applyNumberFormat="1" applyFont="1" applyFill="1" applyBorder="1" applyAlignment="1" applyProtection="1">
      <alignment horizontal="center" vertical="top"/>
      <protection locked="0"/>
    </xf>
    <xf numFmtId="0" fontId="3" fillId="4" borderId="0" xfId="11" applyFont="1" applyFill="1" applyAlignment="1" applyProtection="1">
      <alignment vertical="top"/>
      <protection locked="0"/>
    </xf>
    <xf numFmtId="166" fontId="3" fillId="4" borderId="0" xfId="11" applyNumberFormat="1" applyFont="1" applyFill="1" applyAlignment="1" applyProtection="1">
      <alignment vertical="top"/>
      <protection locked="0"/>
    </xf>
    <xf numFmtId="0" fontId="3" fillId="4" borderId="0" xfId="11" applyFont="1" applyFill="1" applyAlignment="1" applyProtection="1">
      <alignment horizontal="center" vertical="top"/>
      <protection locked="0"/>
    </xf>
    <xf numFmtId="0" fontId="3" fillId="4" borderId="0" xfId="11" applyFont="1" applyFill="1" applyAlignment="1" applyProtection="1">
      <alignment vertical="top" wrapText="1"/>
      <protection locked="0"/>
    </xf>
    <xf numFmtId="41" fontId="3" fillId="4" borderId="0" xfId="11" applyNumberFormat="1" applyFont="1" applyFill="1" applyBorder="1" applyAlignment="1" applyProtection="1">
      <alignment vertical="top"/>
      <protection locked="0"/>
    </xf>
    <xf numFmtId="41" fontId="3" fillId="4" borderId="0" xfId="11" applyNumberFormat="1" applyFont="1" applyFill="1" applyBorder="1" applyAlignment="1" applyProtection="1">
      <alignment vertical="top" wrapText="1"/>
      <protection locked="0"/>
    </xf>
    <xf numFmtId="41" fontId="3" fillId="4" borderId="0" xfId="11" applyNumberFormat="1" applyFont="1" applyFill="1" applyAlignment="1" applyProtection="1">
      <alignment vertical="top" wrapText="1"/>
      <protection locked="0"/>
    </xf>
    <xf numFmtId="41" fontId="3" fillId="4" borderId="0" xfId="11" applyNumberFormat="1" applyFont="1" applyFill="1" applyAlignment="1" applyProtection="1">
      <alignment horizontal="center" vertical="top" wrapText="1"/>
      <protection locked="0"/>
    </xf>
    <xf numFmtId="0" fontId="3" fillId="4" borderId="0" xfId="18" applyNumberFormat="1" applyFont="1" applyFill="1" applyAlignment="1" applyProtection="1">
      <alignment vertical="top" wrapText="1"/>
      <protection locked="0"/>
    </xf>
    <xf numFmtId="0" fontId="3" fillId="4" borderId="0" xfId="0" applyFont="1" applyFill="1" applyAlignment="1" applyProtection="1">
      <alignment vertical="top" wrapText="1"/>
      <protection locked="0"/>
    </xf>
    <xf numFmtId="0" fontId="3" fillId="4" borderId="0" xfId="0" applyNumberFormat="1" applyFont="1" applyFill="1" applyAlignment="1" applyProtection="1">
      <alignment vertical="top" wrapText="1"/>
      <protection locked="0"/>
    </xf>
    <xf numFmtId="0" fontId="15" fillId="4" borderId="0" xfId="18" applyNumberFormat="1" applyFont="1" applyFill="1" applyAlignment="1" applyProtection="1">
      <alignment vertical="top" wrapText="1"/>
      <protection locked="0"/>
    </xf>
    <xf numFmtId="43" fontId="3" fillId="4" borderId="0" xfId="11" applyNumberFormat="1" applyFont="1" applyFill="1" applyBorder="1" applyAlignment="1" applyProtection="1">
      <alignment vertical="top" wrapText="1"/>
      <protection locked="0"/>
    </xf>
    <xf numFmtId="43" fontId="3" fillId="4" borderId="0" xfId="11" applyNumberFormat="1" applyFont="1" applyFill="1" applyAlignment="1" applyProtection="1">
      <alignment vertical="top" wrapText="1"/>
      <protection locked="0"/>
    </xf>
    <xf numFmtId="0" fontId="3" fillId="4" borderId="0" xfId="0" applyFont="1" applyFill="1" applyAlignment="1" applyProtection="1">
      <alignment horizontal="center"/>
      <protection locked="0"/>
    </xf>
    <xf numFmtId="166" fontId="3" fillId="4" borderId="0" xfId="0" applyNumberFormat="1" applyFont="1" applyFill="1" applyProtection="1">
      <protection locked="0"/>
    </xf>
    <xf numFmtId="166" fontId="3" fillId="4" borderId="0" xfId="1" applyNumberFormat="1" applyFont="1" applyFill="1" applyBorder="1" applyProtection="1">
      <protection locked="0"/>
    </xf>
    <xf numFmtId="10" fontId="3" fillId="4" borderId="0" xfId="0" applyNumberFormat="1" applyFont="1" applyFill="1" applyProtection="1">
      <protection locked="0"/>
    </xf>
    <xf numFmtId="10" fontId="3" fillId="4" borderId="0" xfId="0" applyNumberFormat="1" applyFont="1" applyFill="1" applyBorder="1" applyProtection="1">
      <protection locked="0"/>
    </xf>
    <xf numFmtId="0" fontId="3" fillId="0" borderId="0" xfId="11" applyFont="1" applyFill="1" applyBorder="1" applyAlignment="1" applyProtection="1">
      <alignment horizontal="right" vertical="top"/>
    </xf>
    <xf numFmtId="41" fontId="62" fillId="0" borderId="0" xfId="11" applyNumberFormat="1" applyFont="1" applyFill="1" applyAlignment="1" applyProtection="1">
      <alignment horizontal="center" vertical="top"/>
    </xf>
    <xf numFmtId="0" fontId="3" fillId="0" borderId="0" xfId="11" applyFont="1" applyFill="1" applyAlignment="1" applyProtection="1">
      <alignment vertical="top" wrapText="1"/>
    </xf>
    <xf numFmtId="0" fontId="3" fillId="0" borderId="0" xfId="11" applyFont="1" applyFill="1" applyProtection="1"/>
    <xf numFmtId="0" fontId="4" fillId="4" borderId="0" xfId="0" applyFont="1" applyFill="1" applyAlignment="1" applyProtection="1">
      <alignment horizontal="center"/>
      <protection locked="0"/>
    </xf>
    <xf numFmtId="41" fontId="4" fillId="4" borderId="0" xfId="0" applyNumberFormat="1" applyFont="1" applyFill="1" applyAlignment="1" applyProtection="1">
      <alignment horizontal="center"/>
      <protection locked="0"/>
    </xf>
    <xf numFmtId="0" fontId="44" fillId="4" borderId="0" xfId="0" applyFont="1" applyFill="1" applyAlignment="1" applyProtection="1">
      <alignment horizontal="center"/>
      <protection locked="0"/>
    </xf>
    <xf numFmtId="3" fontId="4" fillId="4" borderId="0" xfId="0" applyNumberFormat="1" applyFont="1" applyFill="1" applyAlignment="1" applyProtection="1">
      <alignment horizontal="right"/>
      <protection locked="0"/>
    </xf>
    <xf numFmtId="166" fontId="4" fillId="4" borderId="0" xfId="1" applyNumberFormat="1" applyFont="1" applyFill="1" applyProtection="1">
      <protection locked="0"/>
    </xf>
    <xf numFmtId="0" fontId="44" fillId="4" borderId="0" xfId="0" applyFont="1" applyFill="1" applyBorder="1" applyAlignment="1" applyProtection="1">
      <alignment horizontal="center"/>
      <protection locked="0"/>
    </xf>
    <xf numFmtId="3" fontId="4" fillId="4" borderId="0" xfId="0" applyNumberFormat="1" applyFont="1" applyFill="1" applyBorder="1" applyAlignment="1" applyProtection="1">
      <alignment horizontal="right"/>
      <protection locked="0"/>
    </xf>
    <xf numFmtId="0" fontId="21" fillId="4" borderId="0" xfId="0" applyFont="1" applyFill="1" applyProtection="1">
      <protection locked="0"/>
    </xf>
    <xf numFmtId="0" fontId="18" fillId="4" borderId="0" xfId="0" applyFont="1" applyFill="1" applyProtection="1">
      <protection locked="0"/>
    </xf>
    <xf numFmtId="0" fontId="8" fillId="4" borderId="0" xfId="0" applyFont="1" applyFill="1" applyAlignment="1" applyProtection="1">
      <alignment horizontal="center"/>
      <protection locked="0"/>
    </xf>
    <xf numFmtId="38" fontId="4" fillId="5" borderId="0" xfId="0" applyNumberFormat="1" applyFont="1" applyFill="1" applyProtection="1">
      <protection locked="0"/>
    </xf>
    <xf numFmtId="38" fontId="4" fillId="5" borderId="1" xfId="0" applyNumberFormat="1" applyFont="1" applyFill="1" applyBorder="1" applyProtection="1">
      <protection locked="0"/>
    </xf>
    <xf numFmtId="37" fontId="4" fillId="5" borderId="0" xfId="0" applyNumberFormat="1" applyFont="1" applyFill="1" applyProtection="1">
      <protection locked="0"/>
    </xf>
    <xf numFmtId="37" fontId="4" fillId="5" borderId="1" xfId="0" applyNumberFormat="1" applyFont="1" applyFill="1" applyBorder="1" applyProtection="1">
      <protection locked="0"/>
    </xf>
    <xf numFmtId="9" fontId="4" fillId="5" borderId="0" xfId="0" applyNumberFormat="1" applyFont="1" applyFill="1" applyProtection="1">
      <protection locked="0"/>
    </xf>
    <xf numFmtId="9" fontId="4" fillId="5" borderId="1" xfId="0" applyNumberFormat="1" applyFont="1" applyFill="1" applyBorder="1" applyProtection="1">
      <protection locked="0"/>
    </xf>
    <xf numFmtId="3" fontId="4" fillId="4" borderId="0" xfId="1" applyNumberFormat="1" applyFont="1" applyFill="1" applyProtection="1">
      <protection locked="0"/>
    </xf>
    <xf numFmtId="3" fontId="4" fillId="4" borderId="1" xfId="1" applyNumberFormat="1" applyFont="1" applyFill="1" applyBorder="1" applyProtection="1">
      <protection locked="0"/>
    </xf>
    <xf numFmtId="0" fontId="0" fillId="4" borderId="0" xfId="0" applyFill="1" applyProtection="1">
      <protection locked="0"/>
    </xf>
    <xf numFmtId="0" fontId="10" fillId="4" borderId="0" xfId="0" applyFont="1" applyFill="1" applyProtection="1">
      <protection locked="0"/>
    </xf>
    <xf numFmtId="0" fontId="76" fillId="4" borderId="0" xfId="0" applyFont="1" applyFill="1" applyBorder="1" applyProtection="1">
      <protection locked="0"/>
    </xf>
    <xf numFmtId="0" fontId="3" fillId="4" borderId="0" xfId="0" applyFont="1" applyFill="1" applyBorder="1" applyProtection="1">
      <protection locked="0"/>
    </xf>
    <xf numFmtId="0" fontId="76" fillId="4" borderId="0" xfId="0" quotePrefix="1" applyFont="1" applyFill="1" applyBorder="1" applyProtection="1">
      <protection locked="0"/>
    </xf>
    <xf numFmtId="0" fontId="3" fillId="4" borderId="0" xfId="0" quotePrefix="1" applyFont="1" applyFill="1" applyBorder="1" applyProtection="1">
      <protection locked="0"/>
    </xf>
    <xf numFmtId="42" fontId="18" fillId="5" borderId="0" xfId="0" applyNumberFormat="1" applyFont="1" applyFill="1" applyProtection="1">
      <protection locked="0"/>
    </xf>
    <xf numFmtId="0" fontId="4" fillId="4" borderId="0" xfId="0" applyFont="1" applyFill="1" applyAlignment="1" applyProtection="1">
      <alignment vertical="top"/>
      <protection locked="0"/>
    </xf>
    <xf numFmtId="0" fontId="4" fillId="4" borderId="0" xfId="0" applyFont="1" applyFill="1" applyAlignment="1">
      <alignment horizontal="center"/>
    </xf>
    <xf numFmtId="40" fontId="18" fillId="0" borderId="0" xfId="0" applyNumberFormat="1" applyFont="1"/>
    <xf numFmtId="0" fontId="4" fillId="0" borderId="0" xfId="0" applyNumberFormat="1" applyFont="1" applyFill="1" applyBorder="1" applyAlignment="1">
      <alignment horizontal="center"/>
    </xf>
    <xf numFmtId="182" fontId="4" fillId="0" borderId="0" xfId="0" applyNumberFormat="1" applyFont="1" applyBorder="1" applyAlignment="1">
      <alignment horizontal="center"/>
    </xf>
    <xf numFmtId="41" fontId="4" fillId="0" borderId="0" xfId="0" applyNumberFormat="1" applyFont="1" applyFill="1"/>
    <xf numFmtId="41" fontId="4" fillId="0" borderId="0" xfId="0" applyNumberFormat="1" applyFont="1" applyFill="1" applyAlignment="1"/>
    <xf numFmtId="0" fontId="101" fillId="0" borderId="0" xfId="11" applyFont="1" applyFill="1"/>
    <xf numFmtId="41" fontId="3" fillId="4" borderId="0" xfId="20" applyNumberFormat="1" applyFont="1" applyFill="1" applyAlignment="1" applyProtection="1">
      <alignment horizontal="center"/>
      <protection locked="0"/>
    </xf>
    <xf numFmtId="41" fontId="3" fillId="4" borderId="0" xfId="1" applyNumberFormat="1" applyFont="1" applyFill="1" applyBorder="1" applyProtection="1">
      <protection locked="0"/>
    </xf>
    <xf numFmtId="41" fontId="3" fillId="4" borderId="0" xfId="0" applyNumberFormat="1" applyFont="1" applyFill="1" applyProtection="1">
      <protection locked="0"/>
    </xf>
    <xf numFmtId="41" fontId="7" fillId="4" borderId="0" xfId="11" applyNumberFormat="1" applyFont="1" applyFill="1" applyAlignment="1" applyProtection="1">
      <alignment horizontal="right" vertical="top"/>
      <protection locked="0"/>
    </xf>
    <xf numFmtId="0" fontId="7" fillId="0" borderId="0" xfId="11" applyFont="1" applyAlignment="1" applyProtection="1">
      <alignment horizontal="center" vertical="top"/>
    </xf>
    <xf numFmtId="0" fontId="5" fillId="0" borderId="0" xfId="0" applyNumberFormat="1" applyFont="1" applyFill="1" applyBorder="1" applyAlignment="1" applyProtection="1">
      <alignment horizontal="center"/>
    </xf>
    <xf numFmtId="0" fontId="3" fillId="4" borderId="0" xfId="11" applyFont="1" applyFill="1" applyAlignment="1" applyProtection="1">
      <alignment vertical="top"/>
    </xf>
    <xf numFmtId="0" fontId="3" fillId="4" borderId="0" xfId="11" applyFont="1" applyFill="1" applyAlignment="1" applyProtection="1">
      <alignment vertical="top" wrapText="1"/>
    </xf>
    <xf numFmtId="49" fontId="3" fillId="0" borderId="0" xfId="11" applyNumberFormat="1" applyFont="1" applyFill="1"/>
    <xf numFmtId="0" fontId="18" fillId="0" borderId="0" xfId="0" applyNumberFormat="1" applyFont="1" applyProtection="1">
      <protection locked="0"/>
    </xf>
    <xf numFmtId="3" fontId="4" fillId="0" borderId="0" xfId="0" applyNumberFormat="1" applyFont="1" applyFill="1" applyAlignment="1" applyProtection="1">
      <alignment horizontal="left"/>
    </xf>
    <xf numFmtId="0" fontId="3" fillId="4" borderId="0" xfId="11" applyFont="1" applyFill="1" applyBorder="1" applyAlignment="1" applyProtection="1">
      <alignment horizontal="left" vertical="top"/>
      <protection locked="0"/>
    </xf>
    <xf numFmtId="41" fontId="3" fillId="4" borderId="0" xfId="11" applyNumberFormat="1" applyFont="1" applyFill="1" applyBorder="1" applyAlignment="1" applyProtection="1">
      <alignment horizontal="left" vertical="top" wrapText="1"/>
      <protection locked="0"/>
    </xf>
    <xf numFmtId="0" fontId="3" fillId="0" borderId="0" xfId="11" applyFont="1" applyAlignment="1" applyProtection="1">
      <alignment horizontal="center" vertical="top"/>
      <protection locked="0"/>
    </xf>
    <xf numFmtId="0" fontId="3" fillId="0" borderId="0" xfId="11" applyFont="1" applyFill="1" applyAlignment="1" applyProtection="1">
      <alignment horizontal="center" vertical="top"/>
      <protection locked="0"/>
    </xf>
    <xf numFmtId="49" fontId="3" fillId="0" borderId="0" xfId="0" applyNumberFormat="1" applyFont="1" applyFill="1" applyAlignment="1">
      <alignment vertical="top" wrapText="1"/>
    </xf>
    <xf numFmtId="1" fontId="3" fillId="0" borderId="0" xfId="11" applyNumberFormat="1" applyFont="1" applyFill="1" applyAlignment="1">
      <alignment horizontal="right" vertical="top"/>
    </xf>
    <xf numFmtId="0" fontId="3" fillId="0" borderId="0" xfId="0" applyFont="1" applyFill="1" applyAlignment="1">
      <alignment horizontal="left" vertical="top"/>
    </xf>
    <xf numFmtId="0" fontId="3" fillId="0" borderId="0" xfId="0" applyFont="1" applyFill="1" applyAlignment="1">
      <alignment horizontal="left" vertical="top" wrapText="1"/>
    </xf>
    <xf numFmtId="49" fontId="3" fillId="0" borderId="0" xfId="0" applyNumberFormat="1" applyFont="1" applyFill="1" applyAlignment="1">
      <alignment horizontal="center" vertical="top"/>
    </xf>
    <xf numFmtId="0" fontId="3" fillId="0" borderId="0" xfId="0" quotePrefix="1" applyFont="1" applyFill="1" applyAlignment="1">
      <alignment horizontal="left" vertical="top"/>
    </xf>
    <xf numFmtId="49" fontId="3" fillId="0" borderId="0" xfId="0" applyNumberFormat="1" applyFont="1" applyFill="1" applyAlignment="1">
      <alignment horizontal="left" vertical="top" wrapText="1"/>
    </xf>
    <xf numFmtId="182" fontId="4" fillId="0" borderId="1" xfId="0" applyNumberFormat="1" applyFont="1" applyFill="1" applyBorder="1" applyAlignment="1">
      <alignment horizontal="center"/>
    </xf>
    <xf numFmtId="40" fontId="4" fillId="5" borderId="0" xfId="0" applyNumberFormat="1" applyFont="1" applyFill="1" applyProtection="1">
      <protection locked="0"/>
    </xf>
    <xf numFmtId="49" fontId="4" fillId="0" borderId="1" xfId="0" applyNumberFormat="1" applyFont="1" applyFill="1" applyBorder="1" applyAlignment="1">
      <alignment horizontal="center"/>
    </xf>
    <xf numFmtId="0" fontId="4" fillId="0" borderId="1" xfId="0" applyFont="1" applyFill="1" applyBorder="1" applyAlignment="1">
      <alignment horizontal="center"/>
    </xf>
    <xf numFmtId="39" fontId="4" fillId="0" borderId="1" xfId="0" applyNumberFormat="1" applyFont="1" applyFill="1" applyBorder="1" applyAlignment="1">
      <alignment horizontal="right"/>
    </xf>
    <xf numFmtId="1" fontId="4" fillId="0" borderId="0" xfId="0" applyNumberFormat="1" applyFont="1" applyFill="1" applyAlignment="1">
      <alignment horizontal="center"/>
    </xf>
    <xf numFmtId="2" fontId="4" fillId="0" borderId="0" xfId="0" applyNumberFormat="1" applyFont="1" applyFill="1" applyAlignment="1">
      <alignment horizontal="left"/>
    </xf>
    <xf numFmtId="2" fontId="98" fillId="0" borderId="0" xfId="0" applyNumberFormat="1" applyFont="1" applyFill="1" applyAlignment="1">
      <alignment horizontal="right"/>
    </xf>
    <xf numFmtId="2" fontId="98" fillId="0" borderId="0" xfId="0" applyNumberFormat="1" applyFont="1" applyFill="1" applyAlignment="1"/>
    <xf numFmtId="170" fontId="4" fillId="0" borderId="0" xfId="5" applyNumberFormat="1" applyFont="1" applyFill="1" applyBorder="1" applyAlignment="1" applyProtection="1">
      <protection locked="0"/>
    </xf>
    <xf numFmtId="43" fontId="4" fillId="0" borderId="0" xfId="1" applyFont="1" applyFill="1" applyBorder="1" applyAlignment="1" applyProtection="1">
      <protection locked="0"/>
    </xf>
    <xf numFmtId="0" fontId="0" fillId="0" borderId="0" xfId="0" applyNumberFormat="1" applyProtection="1">
      <protection locked="0"/>
    </xf>
    <xf numFmtId="0" fontId="4" fillId="0" borderId="13" xfId="0" applyNumberFormat="1" applyFont="1" applyFill="1" applyBorder="1" applyAlignment="1" applyProtection="1">
      <alignment horizontal="center"/>
      <protection locked="0"/>
    </xf>
    <xf numFmtId="43" fontId="4" fillId="0" borderId="6" xfId="0" applyNumberFormat="1" applyFont="1" applyBorder="1" applyProtection="1">
      <protection locked="0"/>
    </xf>
    <xf numFmtId="0" fontId="8" fillId="0" borderId="0" xfId="0" applyFont="1" applyAlignment="1" applyProtection="1">
      <alignment horizontal="center"/>
    </xf>
    <xf numFmtId="0" fontId="4" fillId="0" borderId="0" xfId="0" applyFont="1" applyProtection="1"/>
    <xf numFmtId="0" fontId="9" fillId="0" borderId="0" xfId="0" applyFont="1" applyProtection="1"/>
    <xf numFmtId="0" fontId="16" fillId="0" borderId="0" xfId="0" applyFont="1" applyProtection="1"/>
    <xf numFmtId="0" fontId="4" fillId="0" borderId="3" xfId="0" applyFont="1" applyBorder="1" applyProtection="1"/>
    <xf numFmtId="0" fontId="9" fillId="0" borderId="4" xfId="0" applyFont="1" applyBorder="1" applyProtection="1"/>
    <xf numFmtId="37" fontId="4" fillId="0" borderId="6" xfId="0" applyNumberFormat="1" applyFont="1" applyBorder="1" applyAlignment="1" applyProtection="1">
      <alignment horizontal="right"/>
    </xf>
    <xf numFmtId="0" fontId="4" fillId="0" borderId="4" xfId="0" applyFont="1" applyBorder="1" applyProtection="1"/>
    <xf numFmtId="0" fontId="9" fillId="0" borderId="13" xfId="0" applyFont="1" applyBorder="1" applyProtection="1"/>
    <xf numFmtId="37" fontId="4" fillId="0" borderId="6" xfId="0" applyNumberFormat="1" applyFont="1" applyBorder="1" applyProtection="1"/>
    <xf numFmtId="0" fontId="5" fillId="0" borderId="4" xfId="0" applyFont="1" applyBorder="1" applyProtection="1"/>
    <xf numFmtId="0" fontId="4" fillId="0" borderId="3" xfId="0" applyFont="1" applyFill="1" applyBorder="1" applyProtection="1"/>
    <xf numFmtId="0" fontId="5" fillId="0" borderId="4" xfId="0" applyFont="1" applyFill="1" applyBorder="1" applyProtection="1"/>
    <xf numFmtId="39" fontId="4" fillId="0" borderId="6" xfId="0" applyNumberFormat="1" applyFont="1" applyBorder="1" applyProtection="1"/>
    <xf numFmtId="0" fontId="9" fillId="0" borderId="7" xfId="0" applyFont="1" applyBorder="1" applyProtection="1"/>
    <xf numFmtId="0" fontId="2" fillId="0" borderId="7" xfId="0" applyFont="1" applyBorder="1" applyProtection="1"/>
    <xf numFmtId="0" fontId="4" fillId="0" borderId="12" xfId="0" applyFont="1" applyBorder="1" applyProtection="1"/>
    <xf numFmtId="0" fontId="9" fillId="0" borderId="12" xfId="0" applyFont="1" applyBorder="1" applyProtection="1"/>
    <xf numFmtId="43" fontId="4" fillId="0" borderId="12" xfId="0" applyNumberFormat="1" applyFont="1" applyBorder="1" applyProtection="1"/>
    <xf numFmtId="0" fontId="10" fillId="0" borderId="0" xfId="0" applyFont="1" applyProtection="1"/>
    <xf numFmtId="0" fontId="4" fillId="0" borderId="0" xfId="0" applyFont="1" applyAlignment="1" applyProtection="1"/>
    <xf numFmtId="7" fontId="16" fillId="0" borderId="0" xfId="0" applyNumberFormat="1" applyFont="1" applyProtection="1"/>
    <xf numFmtId="0" fontId="21" fillId="0" borderId="0" xfId="0" applyFont="1" applyProtection="1"/>
    <xf numFmtId="7" fontId="9" fillId="0" borderId="0" xfId="0" applyNumberFormat="1" applyFont="1" applyProtection="1"/>
    <xf numFmtId="0" fontId="42" fillId="0" borderId="0" xfId="0" applyFont="1" applyAlignment="1" applyProtection="1">
      <alignment horizontal="center"/>
    </xf>
    <xf numFmtId="0" fontId="56" fillId="0" borderId="0" xfId="0" applyFont="1" applyAlignment="1" applyProtection="1">
      <alignment horizontal="center"/>
    </xf>
    <xf numFmtId="0" fontId="44" fillId="0" borderId="0" xfId="0" applyFont="1" applyProtection="1"/>
    <xf numFmtId="0" fontId="44" fillId="0" borderId="0" xfId="0" applyFont="1" applyFill="1" applyProtection="1"/>
    <xf numFmtId="0" fontId="21" fillId="0" borderId="0" xfId="0" applyFont="1" applyFill="1" applyProtection="1"/>
    <xf numFmtId="0" fontId="44" fillId="0" borderId="2" xfId="0" applyFont="1" applyFill="1" applyBorder="1" applyProtection="1"/>
    <xf numFmtId="0" fontId="16" fillId="0" borderId="1" xfId="0" applyFont="1" applyFill="1" applyBorder="1" applyProtection="1"/>
    <xf numFmtId="37" fontId="44" fillId="0" borderId="6" xfId="1" applyNumberFormat="1" applyFont="1" applyFill="1" applyBorder="1" applyProtection="1"/>
    <xf numFmtId="0" fontId="44" fillId="0" borderId="3" xfId="0" applyFont="1" applyFill="1" applyBorder="1" applyProtection="1"/>
    <xf numFmtId="0" fontId="16" fillId="0" borderId="4" xfId="0" applyFont="1" applyFill="1" applyBorder="1" applyProtection="1"/>
    <xf numFmtId="37" fontId="44" fillId="0" borderId="6" xfId="0" applyNumberFormat="1" applyFont="1" applyFill="1" applyBorder="1" applyProtection="1"/>
    <xf numFmtId="0" fontId="16" fillId="0" borderId="12" xfId="0" applyFont="1" applyFill="1" applyBorder="1" applyProtection="1"/>
    <xf numFmtId="0" fontId="44" fillId="0" borderId="4" xfId="0" applyFont="1" applyFill="1" applyBorder="1" applyProtection="1"/>
    <xf numFmtId="0" fontId="16" fillId="0" borderId="13" xfId="0" applyFont="1" applyFill="1" applyBorder="1" applyProtection="1"/>
    <xf numFmtId="37" fontId="44" fillId="0" borderId="13" xfId="0" applyNumberFormat="1" applyFont="1" applyFill="1" applyBorder="1" applyProtection="1"/>
    <xf numFmtId="0" fontId="44" fillId="0" borderId="12" xfId="0" applyFont="1" applyBorder="1" applyProtection="1"/>
    <xf numFmtId="0" fontId="16" fillId="0" borderId="12" xfId="0" applyFont="1" applyBorder="1" applyProtection="1"/>
    <xf numFmtId="5" fontId="44" fillId="0" borderId="0" xfId="0" applyNumberFormat="1" applyFont="1" applyBorder="1" applyProtection="1"/>
    <xf numFmtId="37" fontId="4" fillId="0" borderId="0" xfId="0" applyNumberFormat="1" applyFont="1" applyProtection="1"/>
    <xf numFmtId="37" fontId="4" fillId="0" borderId="0" xfId="0" applyNumberFormat="1" applyFont="1" applyAlignment="1" applyProtection="1">
      <alignment horizontal="center"/>
    </xf>
    <xf numFmtId="37" fontId="17" fillId="0" borderId="0" xfId="0" applyNumberFormat="1" applyFont="1" applyProtection="1"/>
    <xf numFmtId="37" fontId="4" fillId="0" borderId="1" xfId="0" applyNumberFormat="1" applyFont="1" applyBorder="1" applyAlignment="1" applyProtection="1">
      <alignment horizontal="center"/>
    </xf>
    <xf numFmtId="0" fontId="4" fillId="0" borderId="1" xfId="0" applyFont="1" applyBorder="1" applyAlignment="1" applyProtection="1">
      <alignment horizontal="center"/>
    </xf>
    <xf numFmtId="37" fontId="4" fillId="0" borderId="0" xfId="0" applyNumberFormat="1" applyFont="1" applyFill="1" applyProtection="1"/>
    <xf numFmtId="186" fontId="4" fillId="0" borderId="0" xfId="0" applyNumberFormat="1" applyFont="1" applyAlignment="1" applyProtection="1">
      <alignment horizontal="center"/>
    </xf>
    <xf numFmtId="37" fontId="4" fillId="0" borderId="0" xfId="0" applyNumberFormat="1" applyFont="1" applyFill="1" applyAlignment="1" applyProtection="1">
      <alignment horizontal="right"/>
    </xf>
    <xf numFmtId="37" fontId="4" fillId="0" borderId="0" xfId="0" applyNumberFormat="1" applyFont="1" applyBorder="1" applyProtection="1"/>
    <xf numFmtId="186" fontId="4" fillId="0" borderId="0" xfId="0" applyNumberFormat="1" applyFont="1" applyFill="1" applyAlignment="1" applyProtection="1">
      <alignment horizontal="center"/>
    </xf>
    <xf numFmtId="37" fontId="12" fillId="0" borderId="0" xfId="0" applyNumberFormat="1" applyFont="1" applyAlignment="1" applyProtection="1">
      <alignment horizontal="center"/>
    </xf>
    <xf numFmtId="37" fontId="4" fillId="4" borderId="0" xfId="0" applyNumberFormat="1" applyFont="1" applyFill="1" applyProtection="1"/>
    <xf numFmtId="37" fontId="17" fillId="0" borderId="0" xfId="0" applyNumberFormat="1" applyFont="1" applyFill="1" applyProtection="1"/>
    <xf numFmtId="37" fontId="4" fillId="0" borderId="1" xfId="0" applyNumberFormat="1" applyFont="1" applyFill="1" applyBorder="1" applyAlignment="1" applyProtection="1">
      <alignment horizontal="center"/>
    </xf>
    <xf numFmtId="37" fontId="4" fillId="0" borderId="0" xfId="1" applyNumberFormat="1" applyFont="1" applyFill="1" applyProtection="1"/>
    <xf numFmtId="37" fontId="4" fillId="0" borderId="6" xfId="1" applyNumberFormat="1" applyFont="1" applyFill="1" applyBorder="1" applyProtection="1"/>
    <xf numFmtId="37" fontId="42" fillId="0" borderId="0" xfId="0" applyNumberFormat="1" applyFont="1" applyAlignment="1" applyProtection="1">
      <alignment horizontal="center"/>
    </xf>
    <xf numFmtId="0" fontId="16" fillId="0" borderId="0" xfId="0" applyFont="1" applyAlignment="1" applyProtection="1">
      <alignment horizontal="center"/>
    </xf>
    <xf numFmtId="37" fontId="4" fillId="0" borderId="0" xfId="1" applyNumberFormat="1" applyFont="1" applyProtection="1"/>
    <xf numFmtId="0" fontId="4" fillId="0" borderId="0" xfId="0" applyFont="1" applyAlignment="1" applyProtection="1">
      <alignment horizontal="center"/>
    </xf>
    <xf numFmtId="4" fontId="4" fillId="0" borderId="0" xfId="0" applyNumberFormat="1" applyFont="1" applyAlignment="1" applyProtection="1">
      <alignment horizontal="center"/>
    </xf>
    <xf numFmtId="0" fontId="4" fillId="0" borderId="0" xfId="0" applyFont="1" applyBorder="1" applyProtection="1"/>
    <xf numFmtId="37" fontId="4" fillId="0" borderId="0" xfId="0" applyNumberFormat="1" applyFont="1" applyAlignment="1" applyProtection="1">
      <alignment horizontal="right"/>
    </xf>
    <xf numFmtId="37" fontId="12" fillId="0" borderId="0" xfId="0" applyNumberFormat="1" applyFont="1" applyAlignment="1" applyProtection="1">
      <alignment horizontal="right"/>
    </xf>
    <xf numFmtId="0" fontId="12" fillId="0" borderId="0" xfId="0" applyFont="1" applyAlignment="1" applyProtection="1">
      <alignment horizontal="right"/>
    </xf>
    <xf numFmtId="37" fontId="12" fillId="0" borderId="0" xfId="0" applyNumberFormat="1" applyFont="1" applyBorder="1" applyProtection="1"/>
    <xf numFmtId="0" fontId="12" fillId="0" borderId="0" xfId="0" applyFont="1" applyAlignment="1" applyProtection="1">
      <alignment horizontal="left"/>
    </xf>
    <xf numFmtId="0" fontId="4" fillId="0" borderId="1" xfId="0" applyFont="1" applyBorder="1" applyAlignment="1" applyProtection="1">
      <alignment horizontal="right"/>
    </xf>
    <xf numFmtId="0" fontId="4" fillId="0" borderId="0" xfId="0" applyFont="1" applyAlignment="1" applyProtection="1">
      <alignment horizontal="right"/>
    </xf>
    <xf numFmtId="177" fontId="4" fillId="0" borderId="0" xfId="0" applyNumberFormat="1" applyFont="1" applyAlignment="1" applyProtection="1">
      <alignment horizontal="center"/>
    </xf>
    <xf numFmtId="177" fontId="4" fillId="0" borderId="0" xfId="0" applyNumberFormat="1" applyFont="1" applyFill="1" applyAlignment="1" applyProtection="1">
      <alignment horizontal="center"/>
    </xf>
    <xf numFmtId="0" fontId="3" fillId="0" borderId="0" xfId="0" applyFont="1" applyProtection="1"/>
    <xf numFmtId="177" fontId="4" fillId="0" borderId="0" xfId="0" applyNumberFormat="1" applyFont="1" applyAlignment="1" applyProtection="1">
      <alignment horizontal="right"/>
    </xf>
    <xf numFmtId="0" fontId="44" fillId="0" borderId="2" xfId="0" applyFont="1" applyBorder="1" applyProtection="1"/>
    <xf numFmtId="0" fontId="8" fillId="0" borderId="1" xfId="0" applyFont="1" applyBorder="1" applyProtection="1"/>
    <xf numFmtId="0" fontId="3" fillId="0" borderId="13" xfId="0" applyFont="1" applyBorder="1" applyProtection="1"/>
    <xf numFmtId="37" fontId="44" fillId="0" borderId="6" xfId="0" applyNumberFormat="1" applyFont="1" applyBorder="1" applyProtection="1"/>
    <xf numFmtId="0" fontId="44" fillId="0" borderId="3" xfId="0" applyFont="1" applyBorder="1" applyProtection="1"/>
    <xf numFmtId="0" fontId="8" fillId="0" borderId="4" xfId="0" applyFont="1" applyBorder="1" applyProtection="1"/>
    <xf numFmtId="0" fontId="16" fillId="0" borderId="4" xfId="0" applyFont="1" applyBorder="1" applyProtection="1"/>
    <xf numFmtId="0" fontId="44" fillId="0" borderId="4" xfId="0" applyFont="1" applyBorder="1" applyProtection="1"/>
    <xf numFmtId="37" fontId="21" fillId="0" borderId="0" xfId="0" applyNumberFormat="1" applyFont="1" applyProtection="1"/>
    <xf numFmtId="37" fontId="44" fillId="0" borderId="6" xfId="0" applyNumberFormat="1" applyFont="1" applyBorder="1" applyAlignment="1" applyProtection="1">
      <alignment horizontal="right"/>
    </xf>
    <xf numFmtId="0" fontId="12" fillId="0" borderId="0" xfId="0" applyFont="1" applyProtection="1"/>
    <xf numFmtId="0" fontId="17" fillId="0" borderId="0" xfId="0" applyFont="1" applyProtection="1"/>
    <xf numFmtId="0" fontId="4" fillId="0" borderId="0" xfId="0" applyFont="1" applyAlignment="1" applyProtection="1">
      <alignment horizontal="left"/>
    </xf>
    <xf numFmtId="0" fontId="3" fillId="0" borderId="0" xfId="0" applyFont="1" applyFill="1" applyProtection="1"/>
    <xf numFmtId="0" fontId="4" fillId="0" borderId="0" xfId="0" applyFont="1" applyFill="1" applyProtection="1"/>
    <xf numFmtId="37" fontId="4" fillId="0" borderId="1" xfId="0" applyNumberFormat="1" applyFont="1" applyFill="1" applyBorder="1" applyProtection="1"/>
    <xf numFmtId="169" fontId="4" fillId="0" borderId="0" xfId="0" applyNumberFormat="1" applyFont="1" applyProtection="1"/>
    <xf numFmtId="169" fontId="4" fillId="0" borderId="0" xfId="0" applyNumberFormat="1" applyFont="1" applyAlignment="1" applyProtection="1">
      <alignment horizontal="center"/>
    </xf>
    <xf numFmtId="0" fontId="12" fillId="0" borderId="0" xfId="0" applyFont="1" applyAlignment="1" applyProtection="1">
      <alignment horizontal="center"/>
    </xf>
    <xf numFmtId="183" fontId="4" fillId="0" borderId="0" xfId="0" applyNumberFormat="1" applyFont="1" applyAlignment="1" applyProtection="1">
      <alignment horizontal="center"/>
    </xf>
    <xf numFmtId="183" fontId="4" fillId="0" borderId="0" xfId="0" applyNumberFormat="1" applyFont="1" applyBorder="1" applyAlignment="1" applyProtection="1">
      <alignment horizontal="center"/>
    </xf>
    <xf numFmtId="37" fontId="4" fillId="0" borderId="1" xfId="0" applyNumberFormat="1" applyFont="1" applyBorder="1" applyProtection="1"/>
    <xf numFmtId="169" fontId="4" fillId="0" borderId="0" xfId="0" applyNumberFormat="1" applyFont="1" applyBorder="1" applyProtection="1"/>
    <xf numFmtId="37" fontId="10" fillId="0" borderId="0" xfId="0" applyNumberFormat="1" applyFont="1" applyProtection="1"/>
    <xf numFmtId="37" fontId="4" fillId="0" borderId="0" xfId="0" applyNumberFormat="1" applyFont="1" applyFill="1" applyBorder="1" applyAlignment="1" applyProtection="1">
      <alignment horizontal="right"/>
    </xf>
    <xf numFmtId="37" fontId="12" fillId="0" borderId="0" xfId="0" applyNumberFormat="1" applyFont="1" applyProtection="1"/>
    <xf numFmtId="174" fontId="4" fillId="0" borderId="0" xfId="0" applyNumberFormat="1" applyFont="1" applyAlignment="1" applyProtection="1">
      <alignment horizontal="center"/>
    </xf>
    <xf numFmtId="0" fontId="4" fillId="0" borderId="0" xfId="0" applyFont="1" applyAlignment="1" applyProtection="1">
      <alignment horizontal="center" vertical="center"/>
    </xf>
    <xf numFmtId="37" fontId="4" fillId="0" borderId="4" xfId="0" applyNumberFormat="1" applyFont="1" applyFill="1" applyBorder="1" applyAlignment="1" applyProtection="1">
      <alignment horizontal="right"/>
    </xf>
    <xf numFmtId="37" fontId="4" fillId="0" borderId="14" xfId="0" applyNumberFormat="1" applyFont="1" applyBorder="1" applyProtection="1"/>
    <xf numFmtId="180" fontId="4" fillId="0" borderId="0" xfId="0" applyNumberFormat="1" applyFont="1" applyFill="1" applyAlignment="1" applyProtection="1">
      <alignment horizontal="left"/>
    </xf>
    <xf numFmtId="10" fontId="4" fillId="0" borderId="0" xfId="0" applyNumberFormat="1" applyFont="1" applyFill="1" applyAlignment="1" applyProtection="1">
      <alignment horizontal="left"/>
    </xf>
    <xf numFmtId="186" fontId="4" fillId="0" borderId="0" xfId="0" applyNumberFormat="1" applyFont="1" applyAlignment="1" applyProtection="1">
      <alignment horizontal="left"/>
    </xf>
    <xf numFmtId="0" fontId="3" fillId="0" borderId="0" xfId="11" applyFont="1" applyFill="1" applyAlignment="1" applyProtection="1">
      <alignment horizontal="right" vertical="top"/>
    </xf>
    <xf numFmtId="41" fontId="3" fillId="0" borderId="0" xfId="11" applyNumberFormat="1" applyFont="1" applyFill="1" applyBorder="1" applyAlignment="1" applyProtection="1">
      <alignment horizontal="right" vertical="top"/>
    </xf>
    <xf numFmtId="41" fontId="3" fillId="0" borderId="0" xfId="11" applyNumberFormat="1" applyFont="1" applyFill="1" applyBorder="1" applyAlignment="1" applyProtection="1">
      <alignment horizontal="center" vertical="top"/>
    </xf>
    <xf numFmtId="41" fontId="3" fillId="0" borderId="0" xfId="11" applyNumberFormat="1" applyFont="1" applyFill="1" applyAlignment="1" applyProtection="1">
      <alignment horizontal="left" vertical="top" wrapText="1"/>
    </xf>
    <xf numFmtId="41" fontId="3" fillId="4" borderId="0" xfId="11" applyNumberFormat="1" applyFont="1" applyFill="1" applyBorder="1" applyAlignment="1" applyProtection="1">
      <alignment vertical="top" wrapText="1"/>
    </xf>
    <xf numFmtId="41" fontId="3" fillId="4" borderId="0" xfId="11" applyNumberFormat="1" applyFont="1" applyFill="1" applyAlignment="1" applyProtection="1">
      <alignment horizontal="center" vertical="top" wrapText="1"/>
    </xf>
    <xf numFmtId="43" fontId="3" fillId="4" borderId="0" xfId="11" applyNumberFormat="1" applyFont="1" applyFill="1" applyBorder="1" applyAlignment="1" applyProtection="1">
      <alignment vertical="top" wrapText="1"/>
    </xf>
    <xf numFmtId="43" fontId="3" fillId="4" borderId="0" xfId="11" applyNumberFormat="1" applyFont="1" applyFill="1" applyAlignment="1" applyProtection="1">
      <alignment vertical="top" wrapText="1"/>
    </xf>
    <xf numFmtId="0" fontId="3" fillId="0" borderId="0" xfId="11" applyFont="1" applyFill="1" applyBorder="1" applyAlignment="1" applyProtection="1">
      <alignment horizontal="center" vertical="top"/>
      <protection locked="0"/>
    </xf>
    <xf numFmtId="0" fontId="3" fillId="0" borderId="0" xfId="11" applyFont="1" applyAlignment="1" applyProtection="1">
      <alignment horizontal="left" vertical="top"/>
      <protection locked="0"/>
    </xf>
    <xf numFmtId="0" fontId="3" fillId="0" borderId="0" xfId="11" applyFont="1" applyAlignment="1" applyProtection="1">
      <alignment vertical="top"/>
      <protection locked="0"/>
    </xf>
    <xf numFmtId="0" fontId="15" fillId="0" borderId="0" xfId="11" applyFont="1" applyAlignment="1" applyProtection="1">
      <alignment vertical="top"/>
      <protection locked="0"/>
    </xf>
    <xf numFmtId="0" fontId="3" fillId="0" borderId="0" xfId="11" applyFont="1" applyFill="1" applyAlignment="1" applyProtection="1">
      <alignment vertical="top"/>
      <protection locked="0"/>
    </xf>
    <xf numFmtId="0" fontId="65" fillId="0" borderId="0" xfId="11" applyFont="1" applyAlignment="1" applyProtection="1">
      <alignment vertical="top" wrapText="1"/>
      <protection locked="0"/>
    </xf>
    <xf numFmtId="0" fontId="20" fillId="0" borderId="0" xfId="11" applyFont="1" applyFill="1" applyAlignment="1" applyProtection="1">
      <alignment horizontal="center" vertical="top"/>
    </xf>
    <xf numFmtId="0" fontId="20" fillId="0" borderId="0" xfId="11" applyFont="1" applyAlignment="1" applyProtection="1">
      <alignment horizontal="center" vertical="top"/>
    </xf>
    <xf numFmtId="9" fontId="20" fillId="0" borderId="0" xfId="11" applyNumberFormat="1" applyFont="1" applyFill="1" applyAlignment="1" applyProtection="1">
      <alignment horizontal="center" vertical="top"/>
    </xf>
    <xf numFmtId="9" fontId="20" fillId="0" borderId="0" xfId="11" quotePrefix="1" applyNumberFormat="1" applyFont="1" applyFill="1" applyAlignment="1" applyProtection="1">
      <alignment horizontal="center" vertical="top"/>
    </xf>
    <xf numFmtId="0" fontId="19" fillId="0" borderId="0" xfId="11" applyFont="1" applyFill="1" applyAlignment="1" applyProtection="1">
      <alignment horizontal="center" vertical="top"/>
    </xf>
    <xf numFmtId="0" fontId="22" fillId="0" borderId="0" xfId="11" applyFont="1" applyAlignment="1" applyProtection="1">
      <alignment horizontal="right" vertical="top"/>
    </xf>
    <xf numFmtId="37" fontId="7" fillId="0" borderId="0" xfId="11" applyNumberFormat="1" applyFont="1" applyFill="1" applyAlignment="1" applyProtection="1">
      <alignment vertical="top"/>
    </xf>
    <xf numFmtId="0" fontId="20" fillId="0" borderId="0" xfId="11" applyFont="1" applyAlignment="1" applyProtection="1">
      <alignment vertical="top"/>
    </xf>
    <xf numFmtId="41" fontId="18" fillId="0" borderId="0" xfId="11" applyNumberFormat="1" applyFont="1" applyFill="1" applyAlignment="1" applyProtection="1">
      <alignment horizontal="center" vertical="top"/>
    </xf>
    <xf numFmtId="41" fontId="3" fillId="0" borderId="12" xfId="11" applyNumberFormat="1" applyFont="1" applyFill="1" applyBorder="1" applyAlignment="1" applyProtection="1">
      <alignment vertical="top"/>
    </xf>
    <xf numFmtId="0" fontId="18" fillId="0" borderId="0" xfId="11" applyFont="1" applyAlignment="1" applyProtection="1">
      <alignment vertical="top"/>
    </xf>
    <xf numFmtId="9" fontId="20" fillId="0" borderId="0" xfId="20" applyFont="1" applyAlignment="1" applyProtection="1">
      <alignment horizontal="center" vertical="top"/>
    </xf>
    <xf numFmtId="43" fontId="3" fillId="0" borderId="0" xfId="11" applyNumberFormat="1" applyFont="1" applyAlignment="1" applyProtection="1">
      <alignment vertical="top"/>
    </xf>
    <xf numFmtId="43" fontId="3" fillId="0" borderId="0" xfId="1" applyFont="1" applyAlignment="1" applyProtection="1">
      <alignment vertical="top"/>
    </xf>
    <xf numFmtId="0" fontId="38" fillId="0" borderId="0" xfId="11" applyFont="1" applyAlignment="1" applyProtection="1">
      <alignment vertical="top"/>
    </xf>
    <xf numFmtId="0" fontId="3" fillId="0" borderId="0" xfId="11" applyFont="1" applyAlignment="1" applyProtection="1">
      <alignment horizontal="left"/>
    </xf>
    <xf numFmtId="0" fontId="15" fillId="0" borderId="0" xfId="11" applyFont="1" applyProtection="1"/>
    <xf numFmtId="0" fontId="3" fillId="0" borderId="0" xfId="11" applyFont="1" applyProtection="1"/>
    <xf numFmtId="37" fontId="3" fillId="0" borderId="0" xfId="11" applyNumberFormat="1" applyFont="1" applyFill="1" applyProtection="1"/>
    <xf numFmtId="0" fontId="7" fillId="0" borderId="0" xfId="11" applyFont="1" applyFill="1" applyAlignment="1" applyProtection="1">
      <alignment horizontal="center" vertical="top"/>
    </xf>
    <xf numFmtId="43" fontId="3" fillId="0" borderId="0" xfId="11" applyNumberFormat="1" applyFont="1" applyBorder="1" applyAlignment="1" applyProtection="1">
      <alignment vertical="top"/>
    </xf>
    <xf numFmtId="166" fontId="3" fillId="0" borderId="0" xfId="1" applyNumberFormat="1" applyFont="1" applyFill="1" applyAlignment="1" applyProtection="1">
      <alignment horizontal="right" vertical="top"/>
    </xf>
    <xf numFmtId="0" fontId="7" fillId="0" borderId="0" xfId="11" applyFont="1" applyFill="1" applyAlignment="1" applyProtection="1">
      <alignment vertical="top"/>
    </xf>
    <xf numFmtId="9" fontId="20" fillId="0" borderId="0" xfId="20" applyFont="1" applyFill="1" applyAlignment="1" applyProtection="1">
      <alignment horizontal="center" vertical="top"/>
    </xf>
    <xf numFmtId="0" fontId="8" fillId="0" borderId="0" xfId="0" applyFont="1" applyProtection="1"/>
    <xf numFmtId="0" fontId="44" fillId="0" borderId="1" xfId="0" applyFont="1" applyBorder="1" applyAlignment="1" applyProtection="1">
      <alignment horizontal="center"/>
    </xf>
    <xf numFmtId="10" fontId="44" fillId="0" borderId="1" xfId="0" applyNumberFormat="1" applyFont="1" applyBorder="1" applyAlignment="1" applyProtection="1">
      <alignment horizontal="center"/>
    </xf>
    <xf numFmtId="5" fontId="44" fillId="0" borderId="1" xfId="0" applyNumberFormat="1" applyFont="1" applyBorder="1" applyAlignment="1" applyProtection="1">
      <alignment horizontal="center"/>
    </xf>
    <xf numFmtId="37" fontId="16" fillId="0" borderId="0" xfId="0" applyNumberFormat="1" applyFont="1" applyProtection="1"/>
    <xf numFmtId="37" fontId="44" fillId="0" borderId="0" xfId="0" applyNumberFormat="1" applyFont="1" applyProtection="1"/>
    <xf numFmtId="5" fontId="44" fillId="0" borderId="0" xfId="0" applyNumberFormat="1" applyFont="1" applyProtection="1"/>
    <xf numFmtId="37" fontId="44" fillId="0" borderId="0" xfId="0" applyNumberFormat="1" applyFont="1" applyFill="1" applyProtection="1"/>
    <xf numFmtId="0" fontId="44" fillId="0" borderId="0" xfId="0" applyFont="1" applyAlignment="1" applyProtection="1">
      <alignment horizontal="left"/>
    </xf>
    <xf numFmtId="168" fontId="44" fillId="0" borderId="6" xfId="20" applyNumberFormat="1" applyFont="1" applyBorder="1" applyProtection="1"/>
    <xf numFmtId="10" fontId="44" fillId="0" borderId="0" xfId="0" applyNumberFormat="1" applyFont="1" applyAlignment="1" applyProtection="1">
      <alignment horizontal="right"/>
    </xf>
    <xf numFmtId="37" fontId="44" fillId="0" borderId="0" xfId="0" applyNumberFormat="1" applyFont="1" applyAlignment="1" applyProtection="1">
      <alignment horizontal="right"/>
    </xf>
    <xf numFmtId="37" fontId="44" fillId="0" borderId="1" xfId="0" applyNumberFormat="1" applyFont="1" applyBorder="1" applyAlignment="1" applyProtection="1">
      <alignment horizontal="right"/>
    </xf>
    <xf numFmtId="37" fontId="44" fillId="0" borderId="0" xfId="20" applyNumberFormat="1" applyFont="1" applyProtection="1"/>
    <xf numFmtId="0" fontId="48" fillId="0" borderId="0" xfId="0" applyFont="1" applyProtection="1"/>
    <xf numFmtId="3" fontId="44" fillId="0" borderId="0" xfId="0" applyNumberFormat="1" applyFont="1" applyFill="1" applyAlignment="1" applyProtection="1">
      <alignment horizontal="right"/>
    </xf>
    <xf numFmtId="37" fontId="44" fillId="0" borderId="1" xfId="0" applyNumberFormat="1" applyFont="1" applyFill="1" applyBorder="1" applyAlignment="1" applyProtection="1">
      <alignment horizontal="right"/>
    </xf>
    <xf numFmtId="169" fontId="44" fillId="0" borderId="0" xfId="20" applyNumberFormat="1" applyFont="1" applyProtection="1"/>
    <xf numFmtId="0" fontId="47" fillId="0" borderId="0" xfId="0" applyFont="1" applyAlignment="1" applyProtection="1">
      <alignment horizontal="right"/>
    </xf>
    <xf numFmtId="37" fontId="44" fillId="0" borderId="0" xfId="5" applyNumberFormat="1" applyFont="1" applyFill="1" applyAlignment="1" applyProtection="1">
      <alignment horizontal="right"/>
    </xf>
    <xf numFmtId="37" fontId="44" fillId="0" borderId="0" xfId="5" applyNumberFormat="1" applyFont="1" applyProtection="1"/>
    <xf numFmtId="10" fontId="44" fillId="0" borderId="11" xfId="0" applyNumberFormat="1" applyFont="1" applyBorder="1" applyProtection="1"/>
    <xf numFmtId="37" fontId="44" fillId="0" borderId="0" xfId="1" applyNumberFormat="1" applyFont="1" applyAlignment="1" applyProtection="1">
      <alignment horizontal="right"/>
    </xf>
    <xf numFmtId="10" fontId="44" fillId="0" borderId="0" xfId="0" applyNumberFormat="1" applyFont="1" applyProtection="1"/>
    <xf numFmtId="37" fontId="44" fillId="0" borderId="1" xfId="1" applyNumberFormat="1" applyFont="1" applyFill="1" applyBorder="1" applyAlignment="1" applyProtection="1">
      <alignment horizontal="right"/>
    </xf>
    <xf numFmtId="37" fontId="44" fillId="0" borderId="1" xfId="1" applyNumberFormat="1" applyFont="1" applyBorder="1" applyAlignment="1" applyProtection="1">
      <alignment horizontal="right"/>
    </xf>
    <xf numFmtId="37" fontId="44" fillId="0" borderId="1" xfId="0" applyNumberFormat="1" applyFont="1" applyBorder="1" applyProtection="1"/>
    <xf numFmtId="10" fontId="44" fillId="0" borderId="1" xfId="0" applyNumberFormat="1" applyFont="1" applyBorder="1" applyProtection="1"/>
    <xf numFmtId="37" fontId="44" fillId="0" borderId="0" xfId="5" applyNumberFormat="1" applyFont="1" applyAlignment="1" applyProtection="1">
      <alignment horizontal="right"/>
    </xf>
    <xf numFmtId="9" fontId="44" fillId="0" borderId="0" xfId="0" applyNumberFormat="1" applyFont="1" applyProtection="1"/>
    <xf numFmtId="169" fontId="44" fillId="0" borderId="0" xfId="0" applyNumberFormat="1" applyFont="1" applyProtection="1"/>
    <xf numFmtId="0" fontId="16" fillId="0" borderId="0" xfId="0" applyFont="1" applyFill="1" applyProtection="1"/>
    <xf numFmtId="10" fontId="3" fillId="0" borderId="0" xfId="0" applyNumberFormat="1" applyFont="1" applyAlignment="1" applyProtection="1">
      <alignment horizontal="right"/>
    </xf>
    <xf numFmtId="5" fontId="3" fillId="0" borderId="0" xfId="0" applyNumberFormat="1" applyFont="1" applyProtection="1"/>
    <xf numFmtId="0" fontId="45" fillId="0" borderId="0" xfId="0" applyFont="1" applyProtection="1"/>
    <xf numFmtId="37" fontId="44" fillId="0" borderId="0" xfId="0" applyNumberFormat="1" applyFont="1" applyFill="1" applyAlignment="1" applyProtection="1">
      <alignment horizontal="right"/>
    </xf>
    <xf numFmtId="37" fontId="47" fillId="0" borderId="0" xfId="0" applyNumberFormat="1" applyFont="1" applyFill="1" applyAlignment="1" applyProtection="1">
      <alignment horizontal="right"/>
    </xf>
    <xf numFmtId="0" fontId="44" fillId="0" borderId="0" xfId="0" applyFont="1" applyAlignment="1" applyProtection="1"/>
    <xf numFmtId="5" fontId="4" fillId="0" borderId="0" xfId="0" applyNumberFormat="1" applyFont="1" applyAlignment="1" applyProtection="1">
      <alignment horizontal="left"/>
    </xf>
    <xf numFmtId="5" fontId="4" fillId="0" borderId="0" xfId="0" applyNumberFormat="1" applyFont="1" applyProtection="1"/>
    <xf numFmtId="37" fontId="44" fillId="0" borderId="0" xfId="0" applyNumberFormat="1" applyFont="1" applyBorder="1" applyProtection="1"/>
    <xf numFmtId="37" fontId="8" fillId="0" borderId="0" xfId="0" applyNumberFormat="1" applyFont="1" applyAlignment="1" applyProtection="1">
      <alignment horizontal="center"/>
    </xf>
    <xf numFmtId="0" fontId="44" fillId="0" borderId="0" xfId="0" applyFont="1" applyAlignment="1" applyProtection="1">
      <alignment horizontal="right"/>
    </xf>
    <xf numFmtId="5" fontId="44" fillId="0" borderId="0" xfId="0" applyNumberFormat="1" applyFont="1" applyAlignment="1" applyProtection="1">
      <alignment horizontal="left"/>
    </xf>
    <xf numFmtId="0" fontId="45" fillId="0" borderId="0" xfId="0" applyFont="1" applyFill="1" applyProtection="1"/>
    <xf numFmtId="0" fontId="9" fillId="0" borderId="0" xfId="0" applyFont="1" applyFill="1" applyProtection="1"/>
    <xf numFmtId="37" fontId="44" fillId="0" borderId="0" xfId="0" applyNumberFormat="1" applyFont="1" applyFill="1" applyBorder="1" applyProtection="1"/>
    <xf numFmtId="0" fontId="0" fillId="0" borderId="0" xfId="0" applyAlignment="1" applyProtection="1">
      <alignment horizontal="center"/>
    </xf>
    <xf numFmtId="0" fontId="8" fillId="0" borderId="0" xfId="0" applyFont="1" applyFill="1" applyProtection="1"/>
    <xf numFmtId="0" fontId="0" fillId="0" borderId="0" xfId="0" applyFill="1" applyAlignment="1" applyProtection="1">
      <alignment horizontal="center"/>
    </xf>
    <xf numFmtId="0" fontId="44" fillId="0" borderId="1" xfId="0" applyFont="1" applyBorder="1" applyAlignment="1" applyProtection="1">
      <alignment horizontal="right"/>
    </xf>
    <xf numFmtId="173" fontId="16" fillId="0" borderId="0" xfId="0" quotePrefix="1" applyNumberFormat="1" applyFont="1" applyFill="1" applyBorder="1" applyProtection="1"/>
    <xf numFmtId="14" fontId="16" fillId="0" borderId="0" xfId="0" quotePrefix="1" applyNumberFormat="1" applyFont="1" applyFill="1" applyBorder="1" applyProtection="1"/>
    <xf numFmtId="0" fontId="16" fillId="0" borderId="0" xfId="0" applyFont="1" applyFill="1" applyBorder="1" applyAlignment="1" applyProtection="1">
      <alignment horizontal="center"/>
    </xf>
    <xf numFmtId="3" fontId="44" fillId="0" borderId="1" xfId="0" applyNumberFormat="1" applyFont="1" applyBorder="1" applyAlignment="1" applyProtection="1">
      <alignment horizontal="right"/>
    </xf>
    <xf numFmtId="3" fontId="44" fillId="0" borderId="0" xfId="0" applyNumberFormat="1" applyFont="1" applyProtection="1"/>
    <xf numFmtId="4" fontId="44" fillId="0" borderId="3" xfId="0" applyNumberFormat="1" applyFont="1" applyBorder="1" applyProtection="1"/>
    <xf numFmtId="3" fontId="44" fillId="0" borderId="15" xfId="0" applyNumberFormat="1" applyFont="1" applyBorder="1" applyProtection="1"/>
    <xf numFmtId="0" fontId="44" fillId="0" borderId="0" xfId="0" applyFont="1" applyFill="1" applyAlignment="1" applyProtection="1">
      <alignment horizontal="right"/>
    </xf>
    <xf numFmtId="3" fontId="44" fillId="0" borderId="0" xfId="0" applyNumberFormat="1" applyFont="1" applyFill="1" applyProtection="1"/>
    <xf numFmtId="3" fontId="44" fillId="0" borderId="0" xfId="0" applyNumberFormat="1" applyFont="1" applyFill="1" applyBorder="1" applyProtection="1"/>
    <xf numFmtId="0" fontId="49" fillId="0" borderId="0" xfId="0" applyFont="1" applyFill="1" applyProtection="1"/>
    <xf numFmtId="3" fontId="44" fillId="0" borderId="0" xfId="0" applyNumberFormat="1" applyFont="1" applyBorder="1" applyProtection="1"/>
    <xf numFmtId="0" fontId="49" fillId="0" borderId="0" xfId="0" applyFont="1" applyProtection="1"/>
    <xf numFmtId="0" fontId="44" fillId="0" borderId="0" xfId="0" applyFont="1" applyFill="1" applyAlignment="1" applyProtection="1">
      <alignment horizontal="left"/>
    </xf>
    <xf numFmtId="3" fontId="44" fillId="0" borderId="6" xfId="0" applyNumberFormat="1" applyFont="1" applyBorder="1" applyProtection="1"/>
    <xf numFmtId="0" fontId="73" fillId="0" borderId="0" xfId="0" applyFont="1" applyFill="1" applyAlignment="1" applyProtection="1">
      <alignment horizontal="left"/>
    </xf>
    <xf numFmtId="0" fontId="73" fillId="0" borderId="0" xfId="0" applyFont="1" applyFill="1" applyAlignment="1" applyProtection="1">
      <alignment horizontal="right"/>
    </xf>
    <xf numFmtId="3" fontId="73" fillId="0" borderId="0" xfId="0" applyNumberFormat="1" applyFont="1" applyFill="1" applyProtection="1"/>
    <xf numFmtId="3" fontId="73" fillId="0" borderId="0" xfId="0" applyNumberFormat="1" applyFont="1" applyFill="1" applyBorder="1" applyProtection="1"/>
    <xf numFmtId="0" fontId="74" fillId="0" borderId="0" xfId="0" applyFont="1" applyFill="1" applyProtection="1"/>
    <xf numFmtId="39" fontId="44" fillId="0" borderId="1" xfId="0" applyNumberFormat="1" applyFont="1" applyFill="1" applyBorder="1" applyProtection="1"/>
    <xf numFmtId="10" fontId="44" fillId="0" borderId="0" xfId="0" applyNumberFormat="1" applyFont="1" applyFill="1" applyAlignment="1" applyProtection="1">
      <alignment horizontal="right"/>
    </xf>
    <xf numFmtId="5" fontId="44" fillId="0" borderId="0" xfId="0" applyNumberFormat="1" applyFont="1" applyFill="1" applyProtection="1"/>
    <xf numFmtId="0" fontId="8" fillId="0" borderId="0" xfId="0" applyFont="1" applyFill="1" applyAlignment="1" applyProtection="1">
      <alignment horizontal="center"/>
    </xf>
    <xf numFmtId="0" fontId="18" fillId="0" borderId="0" xfId="0" applyFont="1" applyProtection="1"/>
    <xf numFmtId="0" fontId="5" fillId="0" borderId="0" xfId="0" applyFont="1" applyAlignment="1" applyProtection="1">
      <alignment horizontal="center"/>
    </xf>
    <xf numFmtId="0" fontId="3" fillId="0" borderId="0" xfId="0" applyFont="1" applyAlignment="1" applyProtection="1">
      <alignment horizontal="center"/>
    </xf>
    <xf numFmtId="0" fontId="34" fillId="0" borderId="0" xfId="0" applyFont="1" applyAlignment="1" applyProtection="1">
      <alignment horizontal="center"/>
    </xf>
    <xf numFmtId="0" fontId="39" fillId="0" borderId="0" xfId="0" applyFont="1" applyProtection="1"/>
    <xf numFmtId="0" fontId="7" fillId="0" borderId="0" xfId="0" applyFont="1" applyAlignment="1" applyProtection="1">
      <alignment horizontal="center"/>
    </xf>
    <xf numFmtId="0" fontId="35" fillId="0" borderId="0" xfId="0" applyFont="1" applyAlignment="1" applyProtection="1">
      <alignment horizontal="center"/>
    </xf>
    <xf numFmtId="0" fontId="7" fillId="0" borderId="1" xfId="0" applyFont="1" applyBorder="1" applyAlignment="1" applyProtection="1">
      <alignment horizontal="center"/>
    </xf>
    <xf numFmtId="0" fontId="7" fillId="0" borderId="1" xfId="0" quotePrefix="1" applyFont="1" applyBorder="1" applyAlignment="1" applyProtection="1">
      <alignment horizontal="center"/>
    </xf>
    <xf numFmtId="0" fontId="7" fillId="0" borderId="1" xfId="0" applyFont="1" applyBorder="1" applyAlignment="1" applyProtection="1">
      <alignment horizontal="center" wrapText="1"/>
    </xf>
    <xf numFmtId="43" fontId="3" fillId="0" borderId="0" xfId="0" applyNumberFormat="1" applyFont="1" applyProtection="1"/>
    <xf numFmtId="43" fontId="3" fillId="0" borderId="0" xfId="0" applyNumberFormat="1" applyFont="1" applyAlignment="1" applyProtection="1">
      <alignment horizontal="right"/>
    </xf>
    <xf numFmtId="166" fontId="3" fillId="0" borderId="0" xfId="0" applyNumberFormat="1" applyFont="1" applyProtection="1"/>
    <xf numFmtId="41" fontId="3" fillId="0" borderId="0" xfId="0" applyNumberFormat="1" applyFont="1" applyProtection="1"/>
    <xf numFmtId="37" fontId="3" fillId="0" borderId="0" xfId="0" applyNumberFormat="1" applyFont="1" applyProtection="1"/>
    <xf numFmtId="0" fontId="22" fillId="0" borderId="0" xfId="0" applyFont="1" applyProtection="1"/>
    <xf numFmtId="0" fontId="3" fillId="0" borderId="0" xfId="11" applyFont="1" applyFill="1" applyAlignment="1" applyProtection="1">
      <alignment horizontal="left"/>
    </xf>
    <xf numFmtId="0" fontId="21" fillId="0" borderId="0" xfId="11" applyFont="1" applyFill="1" applyAlignment="1" applyProtection="1">
      <alignment horizontal="left"/>
    </xf>
    <xf numFmtId="0" fontId="21" fillId="0" borderId="0" xfId="11" applyFont="1" applyFill="1" applyProtection="1"/>
    <xf numFmtId="0" fontId="19" fillId="0" borderId="0" xfId="11" applyFont="1" applyFill="1" applyProtection="1"/>
    <xf numFmtId="0" fontId="20" fillId="0" borderId="0" xfId="11" applyFont="1" applyFill="1" applyAlignment="1" applyProtection="1">
      <alignment horizontal="center"/>
    </xf>
    <xf numFmtId="9" fontId="19" fillId="0" borderId="0" xfId="11" applyNumberFormat="1" applyFont="1" applyFill="1" applyAlignment="1" applyProtection="1">
      <alignment horizontal="center"/>
    </xf>
    <xf numFmtId="0" fontId="19" fillId="0" borderId="0" xfId="11" applyFont="1" applyFill="1" applyAlignment="1" applyProtection="1">
      <alignment horizontal="center"/>
    </xf>
    <xf numFmtId="0" fontId="3" fillId="0" borderId="0" xfId="11" applyFont="1" applyFill="1" applyAlignment="1" applyProtection="1">
      <alignment horizontal="center"/>
    </xf>
    <xf numFmtId="49" fontId="3" fillId="0" borderId="0" xfId="0" applyNumberFormat="1" applyFont="1" applyFill="1" applyAlignment="1" applyProtection="1">
      <alignment vertical="top" wrapText="1"/>
    </xf>
    <xf numFmtId="49" fontId="3" fillId="0" borderId="0" xfId="0" applyNumberFormat="1" applyFont="1" applyFill="1" applyAlignment="1" applyProtection="1">
      <alignment vertical="top"/>
    </xf>
    <xf numFmtId="0" fontId="3" fillId="0" borderId="0" xfId="0" applyFont="1" applyFill="1" applyAlignment="1" applyProtection="1">
      <alignment vertical="top"/>
    </xf>
    <xf numFmtId="0" fontId="3" fillId="0" borderId="0" xfId="0" applyFont="1" applyFill="1" applyAlignment="1" applyProtection="1">
      <alignment vertical="top" wrapText="1"/>
    </xf>
    <xf numFmtId="0" fontId="3" fillId="0" borderId="0" xfId="11" applyFont="1" applyFill="1" applyBorder="1" applyAlignment="1" applyProtection="1">
      <alignment vertical="top" wrapText="1"/>
    </xf>
    <xf numFmtId="1" fontId="3" fillId="0" borderId="0" xfId="11" applyNumberFormat="1" applyFont="1" applyFill="1" applyAlignment="1" applyProtection="1">
      <alignment horizontal="right" vertical="top"/>
    </xf>
    <xf numFmtId="41" fontId="3" fillId="0" borderId="0" xfId="11" applyNumberFormat="1" applyFont="1" applyFill="1" applyAlignment="1" applyProtection="1">
      <alignment horizontal="center" vertical="top"/>
    </xf>
    <xf numFmtId="0" fontId="3" fillId="0" borderId="0" xfId="0" applyFont="1" applyFill="1" applyAlignment="1" applyProtection="1">
      <alignment horizontal="center" vertical="top"/>
    </xf>
    <xf numFmtId="0" fontId="3" fillId="0" borderId="0" xfId="0" applyFont="1" applyFill="1" applyAlignment="1" applyProtection="1">
      <alignment horizontal="left" vertical="top"/>
    </xf>
    <xf numFmtId="0" fontId="3" fillId="0" borderId="0" xfId="0" applyFont="1" applyFill="1" applyAlignment="1" applyProtection="1">
      <alignment horizontal="left" vertical="top" wrapText="1"/>
    </xf>
    <xf numFmtId="0" fontId="3" fillId="6" borderId="0" xfId="11" applyFont="1" applyFill="1" applyBorder="1" applyAlignment="1" applyProtection="1">
      <alignment horizontal="center" vertical="top"/>
      <protection locked="0"/>
    </xf>
    <xf numFmtId="0" fontId="3" fillId="6" borderId="0" xfId="11" applyFont="1" applyFill="1" applyBorder="1" applyAlignment="1" applyProtection="1">
      <alignment vertical="top" wrapText="1"/>
      <protection locked="0"/>
    </xf>
    <xf numFmtId="14" fontId="3" fillId="5" borderId="0" xfId="0" applyNumberFormat="1" applyFont="1" applyFill="1" applyProtection="1">
      <protection locked="0"/>
    </xf>
    <xf numFmtId="0" fontId="3" fillId="2" borderId="0" xfId="11" applyFont="1" applyFill="1" applyAlignment="1" applyProtection="1">
      <alignment horizontal="center" vertical="top"/>
      <protection locked="0"/>
    </xf>
    <xf numFmtId="0" fontId="4" fillId="0" borderId="0" xfId="0" applyFont="1" applyAlignment="1" applyProtection="1">
      <alignment horizontal="center" vertical="top"/>
    </xf>
    <xf numFmtId="0" fontId="4" fillId="0" borderId="0" xfId="0" quotePrefix="1" applyFont="1" applyAlignment="1" applyProtection="1">
      <alignment horizontal="center" vertical="top"/>
    </xf>
    <xf numFmtId="0" fontId="4" fillId="4" borderId="0" xfId="0" applyFont="1" applyFill="1" applyAlignment="1" applyProtection="1">
      <alignment horizontal="center"/>
    </xf>
    <xf numFmtId="41" fontId="77" fillId="0" borderId="0" xfId="0" applyNumberFormat="1" applyFont="1" applyAlignment="1" applyProtection="1">
      <alignment vertical="top"/>
      <protection locked="0"/>
    </xf>
    <xf numFmtId="41" fontId="77" fillId="0" borderId="0" xfId="0" applyNumberFormat="1" applyFont="1" applyAlignment="1" applyProtection="1">
      <alignment horizontal="center" vertical="top"/>
      <protection locked="0"/>
    </xf>
    <xf numFmtId="41" fontId="4" fillId="5" borderId="0" xfId="0" applyNumberFormat="1" applyFont="1" applyFill="1" applyProtection="1">
      <protection locked="0"/>
    </xf>
    <xf numFmtId="2" fontId="4" fillId="5" borderId="0" xfId="0" applyNumberFormat="1" applyFont="1" applyFill="1" applyAlignment="1" applyProtection="1">
      <protection locked="0"/>
    </xf>
    <xf numFmtId="41" fontId="4" fillId="5" borderId="0" xfId="0" applyNumberFormat="1" applyFont="1" applyFill="1" applyAlignment="1" applyProtection="1">
      <protection locked="0"/>
    </xf>
    <xf numFmtId="2" fontId="4" fillId="5" borderId="0" xfId="0" applyNumberFormat="1" applyFont="1" applyFill="1" applyAlignment="1" applyProtection="1">
      <alignment horizontal="right"/>
      <protection locked="0"/>
    </xf>
    <xf numFmtId="4" fontId="4" fillId="5" borderId="0" xfId="0" applyNumberFormat="1" applyFont="1" applyFill="1" applyAlignment="1" applyProtection="1">
      <protection locked="0"/>
    </xf>
    <xf numFmtId="0" fontId="44" fillId="0" borderId="0" xfId="0" applyFont="1" applyAlignment="1" applyProtection="1">
      <alignment horizontal="center"/>
    </xf>
    <xf numFmtId="0" fontId="47" fillId="0" borderId="0" xfId="0" applyFont="1" applyProtection="1"/>
    <xf numFmtId="0" fontId="47" fillId="0" borderId="0" xfId="0" applyFont="1" applyAlignment="1" applyProtection="1">
      <alignment horizontal="center"/>
    </xf>
    <xf numFmtId="0" fontId="24" fillId="0" borderId="0" xfId="0" applyFont="1" applyProtection="1"/>
    <xf numFmtId="0" fontId="5" fillId="0" borderId="0" xfId="0" applyFont="1" applyProtection="1"/>
    <xf numFmtId="0" fontId="4" fillId="0" borderId="2" xfId="0" applyFont="1" applyBorder="1" applyAlignment="1" applyProtection="1">
      <alignment horizontal="center"/>
    </xf>
    <xf numFmtId="0" fontId="18" fillId="0" borderId="7" xfId="0" applyFont="1" applyBorder="1" applyProtection="1"/>
    <xf numFmtId="0" fontId="5" fillId="0" borderId="0" xfId="0" applyFont="1" applyFill="1" applyProtection="1"/>
    <xf numFmtId="0" fontId="4" fillId="0" borderId="8" xfId="0" applyFont="1" applyBorder="1" applyAlignment="1" applyProtection="1">
      <alignment horizontal="center"/>
    </xf>
    <xf numFmtId="0" fontId="4" fillId="0" borderId="0" xfId="0" applyFont="1" applyBorder="1" applyAlignment="1" applyProtection="1">
      <alignment horizontal="center"/>
    </xf>
    <xf numFmtId="0" fontId="12" fillId="0" borderId="0" xfId="0" applyFont="1" applyFill="1" applyAlignment="1" applyProtection="1">
      <alignment horizontal="center"/>
    </xf>
    <xf numFmtId="0" fontId="12" fillId="0" borderId="15" xfId="0" applyFont="1" applyBorder="1" applyAlignment="1" applyProtection="1">
      <alignment horizontal="center"/>
    </xf>
    <xf numFmtId="39" fontId="4" fillId="0" borderId="0" xfId="0" applyNumberFormat="1" applyFont="1" applyBorder="1" applyAlignment="1" applyProtection="1">
      <alignment horizontal="right"/>
    </xf>
    <xf numFmtId="0" fontId="4" fillId="0" borderId="0" xfId="0" applyFont="1" applyFill="1" applyAlignment="1" applyProtection="1">
      <alignment horizontal="center"/>
    </xf>
    <xf numFmtId="0" fontId="4" fillId="0" borderId="0" xfId="0" applyFont="1" applyFill="1" applyBorder="1" applyProtection="1"/>
    <xf numFmtId="39" fontId="4" fillId="0" borderId="6" xfId="0" applyNumberFormat="1" applyFont="1" applyBorder="1" applyAlignment="1" applyProtection="1">
      <alignment horizontal="right"/>
    </xf>
    <xf numFmtId="39" fontId="4" fillId="0" borderId="6" xfId="0" applyNumberFormat="1" applyFont="1" applyFill="1" applyBorder="1" applyAlignment="1" applyProtection="1">
      <alignment horizontal="right"/>
    </xf>
    <xf numFmtId="39" fontId="18" fillId="0" borderId="0" xfId="0" applyNumberFormat="1" applyFont="1" applyProtection="1"/>
    <xf numFmtId="0" fontId="3" fillId="0" borderId="0" xfId="0" applyFont="1" applyFill="1" applyAlignment="1" applyProtection="1">
      <alignment horizontal="center"/>
    </xf>
    <xf numFmtId="0" fontId="7" fillId="0" borderId="0" xfId="0" applyFont="1" applyFill="1" applyAlignment="1" applyProtection="1">
      <alignment horizontal="center"/>
    </xf>
    <xf numFmtId="0" fontId="5" fillId="0" borderId="0" xfId="0" applyNumberFormat="1" applyFont="1" applyBorder="1" applyAlignment="1" applyProtection="1">
      <alignment horizontal="center"/>
    </xf>
    <xf numFmtId="4" fontId="4" fillId="0" borderId="0" xfId="0" applyNumberFormat="1" applyFont="1" applyBorder="1" applyAlignment="1" applyProtection="1">
      <alignment horizontal="center"/>
    </xf>
    <xf numFmtId="0" fontId="4" fillId="0" borderId="0" xfId="0" applyNumberFormat="1" applyFont="1" applyFill="1" applyBorder="1" applyAlignment="1" applyProtection="1">
      <alignment horizontal="center"/>
    </xf>
    <xf numFmtId="49" fontId="4" fillId="0" borderId="0" xfId="0" applyNumberFormat="1" applyFont="1" applyBorder="1" applyAlignment="1" applyProtection="1">
      <alignment horizontal="center"/>
    </xf>
    <xf numFmtId="182" fontId="4" fillId="0" borderId="1" xfId="0" applyNumberFormat="1" applyFont="1" applyBorder="1" applyAlignment="1" applyProtection="1">
      <alignment horizontal="center"/>
    </xf>
    <xf numFmtId="182" fontId="4" fillId="0" borderId="1" xfId="0" applyNumberFormat="1" applyFont="1" applyFill="1" applyBorder="1" applyAlignment="1" applyProtection="1">
      <alignment horizontal="center"/>
    </xf>
    <xf numFmtId="49" fontId="4" fillId="0" borderId="1" xfId="0" applyNumberFormat="1" applyFont="1" applyBorder="1" applyAlignment="1" applyProtection="1">
      <alignment horizontal="center"/>
    </xf>
    <xf numFmtId="49" fontId="4" fillId="0" borderId="1" xfId="0" applyNumberFormat="1" applyFont="1" applyFill="1" applyBorder="1" applyAlignment="1" applyProtection="1">
      <alignment horizontal="center"/>
    </xf>
    <xf numFmtId="0" fontId="12" fillId="0" borderId="0" xfId="0" applyFont="1" applyFill="1" applyProtection="1"/>
    <xf numFmtId="182" fontId="4" fillId="0" borderId="0" xfId="0" applyNumberFormat="1" applyFont="1" applyFill="1" applyBorder="1" applyAlignment="1" applyProtection="1">
      <alignment horizontal="center"/>
    </xf>
    <xf numFmtId="182" fontId="4" fillId="0" borderId="0" xfId="0" applyNumberFormat="1" applyFont="1" applyBorder="1" applyAlignment="1" applyProtection="1">
      <alignment horizontal="center"/>
    </xf>
    <xf numFmtId="39" fontId="4" fillId="0" borderId="0" xfId="0" applyNumberFormat="1" applyFont="1" applyProtection="1"/>
    <xf numFmtId="4" fontId="4" fillId="0" borderId="0" xfId="0" applyNumberFormat="1" applyFont="1" applyProtection="1"/>
    <xf numFmtId="4" fontId="4" fillId="0" borderId="0" xfId="0" applyNumberFormat="1" applyFont="1" applyFill="1" applyProtection="1"/>
    <xf numFmtId="39" fontId="4" fillId="0" borderId="0" xfId="0" applyNumberFormat="1" applyFont="1" applyFill="1" applyProtection="1"/>
    <xf numFmtId="4" fontId="23" fillId="0" borderId="0" xfId="0" applyNumberFormat="1" applyFont="1" applyFill="1" applyAlignment="1" applyProtection="1">
      <alignment horizontal="center"/>
    </xf>
    <xf numFmtId="4" fontId="4" fillId="0" borderId="0"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 fontId="23" fillId="0" borderId="0" xfId="0" applyNumberFormat="1" applyFont="1" applyFill="1" applyProtection="1"/>
    <xf numFmtId="0" fontId="18" fillId="0" borderId="0" xfId="0" applyFont="1" applyFill="1" applyProtection="1"/>
    <xf numFmtId="0" fontId="23" fillId="0" borderId="0" xfId="0" applyFont="1" applyFill="1" applyProtection="1"/>
    <xf numFmtId="0" fontId="39" fillId="0" borderId="0" xfId="0" applyFont="1" applyFill="1" applyProtection="1"/>
    <xf numFmtId="0" fontId="4" fillId="0" borderId="1" xfId="0" applyFont="1" applyFill="1" applyBorder="1" applyAlignment="1" applyProtection="1">
      <alignment horizontal="center"/>
    </xf>
    <xf numFmtId="39" fontId="4" fillId="0" borderId="1" xfId="0" applyNumberFormat="1" applyFont="1" applyFill="1" applyBorder="1" applyAlignment="1" applyProtection="1">
      <alignment horizontal="right"/>
    </xf>
    <xf numFmtId="0" fontId="4" fillId="0" borderId="0" xfId="0" applyFont="1" applyFill="1" applyAlignment="1" applyProtection="1">
      <alignment horizontal="left"/>
    </xf>
    <xf numFmtId="0" fontId="10" fillId="0" borderId="0" xfId="0" applyFont="1" applyFill="1" applyProtection="1"/>
    <xf numFmtId="4" fontId="23" fillId="0" borderId="0" xfId="0" applyNumberFormat="1" applyFont="1" applyProtection="1"/>
    <xf numFmtId="4" fontId="23" fillId="0" borderId="0" xfId="0" applyNumberFormat="1" applyFont="1" applyAlignment="1" applyProtection="1">
      <alignment horizontal="center"/>
    </xf>
    <xf numFmtId="0" fontId="23" fillId="0" borderId="0" xfId="0" applyFont="1" applyProtection="1"/>
    <xf numFmtId="0" fontId="4" fillId="4" borderId="0" xfId="0" applyFont="1" applyFill="1" applyAlignment="1" applyProtection="1">
      <alignment horizontal="center" vertical="top"/>
      <protection locked="0"/>
    </xf>
    <xf numFmtId="0" fontId="0" fillId="0" borderId="0" xfId="0" applyProtection="1"/>
    <xf numFmtId="1" fontId="4" fillId="0" borderId="0" xfId="0" applyNumberFormat="1" applyFont="1" applyAlignment="1" applyProtection="1">
      <alignment horizontal="left"/>
    </xf>
    <xf numFmtId="0" fontId="4" fillId="0" borderId="0" xfId="0" applyFont="1" applyFill="1" applyAlignment="1" applyProtection="1"/>
    <xf numFmtId="9" fontId="4" fillId="0" borderId="1" xfId="0" applyNumberFormat="1" applyFont="1" applyBorder="1" applyProtection="1"/>
    <xf numFmtId="1" fontId="61" fillId="0" borderId="0" xfId="0" applyNumberFormat="1" applyFont="1" applyAlignment="1" applyProtection="1">
      <alignment horizontal="left"/>
    </xf>
    <xf numFmtId="0" fontId="4" fillId="0" borderId="0" xfId="0" applyFont="1" applyFill="1" applyBorder="1" applyAlignment="1" applyProtection="1"/>
    <xf numFmtId="38" fontId="4" fillId="0" borderId="0" xfId="0" applyNumberFormat="1" applyFont="1" applyBorder="1" applyProtection="1"/>
    <xf numFmtId="38" fontId="4" fillId="0" borderId="14" xfId="0" applyNumberFormat="1" applyFont="1" applyBorder="1" applyProtection="1"/>
    <xf numFmtId="0" fontId="12" fillId="0" borderId="0" xfId="0" applyFont="1" applyFill="1" applyAlignment="1" applyProtection="1"/>
    <xf numFmtId="38" fontId="4" fillId="0" borderId="4" xfId="0" applyNumberFormat="1" applyFont="1" applyBorder="1" applyProtection="1"/>
    <xf numFmtId="38" fontId="4" fillId="0" borderId="0" xfId="0" applyNumberFormat="1" applyFont="1" applyProtection="1"/>
    <xf numFmtId="37" fontId="4" fillId="0" borderId="4" xfId="0" applyNumberFormat="1" applyFont="1" applyBorder="1" applyProtection="1"/>
    <xf numFmtId="38" fontId="4" fillId="0" borderId="0" xfId="0" applyNumberFormat="1" applyFont="1" applyFill="1" applyProtection="1"/>
    <xf numFmtId="9" fontId="4" fillId="0" borderId="0" xfId="0" applyNumberFormat="1" applyFont="1" applyProtection="1"/>
    <xf numFmtId="38" fontId="4" fillId="0" borderId="6" xfId="0" applyNumberFormat="1" applyFont="1" applyFill="1" applyBorder="1" applyProtection="1"/>
    <xf numFmtId="38" fontId="4" fillId="0" borderId="1" xfId="0" applyNumberFormat="1" applyFont="1" applyBorder="1" applyProtection="1"/>
    <xf numFmtId="9" fontId="4" fillId="0" borderId="14" xfId="0" applyNumberFormat="1" applyFont="1" applyBorder="1" applyProtection="1"/>
    <xf numFmtId="9" fontId="4" fillId="0" borderId="0" xfId="0" applyNumberFormat="1" applyFont="1" applyBorder="1" applyProtection="1"/>
    <xf numFmtId="169" fontId="4" fillId="0" borderId="0" xfId="5" applyNumberFormat="1" applyFont="1" applyProtection="1"/>
    <xf numFmtId="3" fontId="4" fillId="0" borderId="0" xfId="0" applyNumberFormat="1" applyFont="1" applyProtection="1"/>
    <xf numFmtId="3" fontId="4" fillId="0" borderId="0" xfId="1" applyNumberFormat="1" applyFont="1" applyProtection="1"/>
    <xf numFmtId="3" fontId="4" fillId="0" borderId="1" xfId="1" applyNumberFormat="1" applyFont="1" applyBorder="1" applyProtection="1"/>
    <xf numFmtId="169" fontId="4" fillId="0" borderId="3" xfId="0" applyNumberFormat="1" applyFont="1" applyBorder="1" applyProtection="1"/>
    <xf numFmtId="169" fontId="4" fillId="0" borderId="10" xfId="0" applyNumberFormat="1" applyFont="1" applyBorder="1" applyProtection="1"/>
    <xf numFmtId="169" fontId="4" fillId="0" borderId="13" xfId="0" applyNumberFormat="1" applyFont="1" applyBorder="1" applyProtection="1"/>
    <xf numFmtId="37" fontId="12" fillId="0" borderId="0" xfId="0" applyNumberFormat="1" applyFont="1" applyFill="1" applyProtection="1"/>
    <xf numFmtId="0" fontId="23" fillId="0" borderId="0" xfId="0" applyFont="1" applyBorder="1" applyProtection="1"/>
    <xf numFmtId="0" fontId="18" fillId="0" borderId="0" xfId="0" applyFont="1" applyBorder="1" applyProtection="1"/>
    <xf numFmtId="0" fontId="23" fillId="0" borderId="0" xfId="0" applyFont="1" applyBorder="1" applyAlignment="1" applyProtection="1">
      <alignment horizontal="left"/>
    </xf>
    <xf numFmtId="0" fontId="92" fillId="0" borderId="0" xfId="0" applyFont="1" applyFill="1" applyBorder="1" applyAlignment="1" applyProtection="1">
      <alignment horizontal="left"/>
    </xf>
    <xf numFmtId="0" fontId="23" fillId="0" borderId="0" xfId="0" applyFont="1" applyFill="1" applyBorder="1" applyAlignment="1" applyProtection="1">
      <alignment horizontal="left"/>
    </xf>
    <xf numFmtId="0" fontId="76" fillId="0" borderId="0" xfId="0" applyFont="1" applyBorder="1" applyProtection="1"/>
    <xf numFmtId="0" fontId="77" fillId="0" borderId="16" xfId="0" applyFont="1" applyBorder="1" applyProtection="1"/>
    <xf numFmtId="0" fontId="76" fillId="0" borderId="0" xfId="0" applyFont="1" applyBorder="1" applyAlignment="1" applyProtection="1">
      <alignment horizontal="left"/>
    </xf>
    <xf numFmtId="0" fontId="76" fillId="0" borderId="0" xfId="0" applyFont="1" applyFill="1" applyBorder="1" applyAlignment="1" applyProtection="1">
      <alignment horizontal="left"/>
    </xf>
    <xf numFmtId="0" fontId="3" fillId="0" borderId="0" xfId="0" applyFont="1" applyBorder="1" applyProtection="1"/>
    <xf numFmtId="0" fontId="91" fillId="0" borderId="0" xfId="0" applyFont="1" applyBorder="1" applyAlignment="1" applyProtection="1">
      <alignment horizontal="left"/>
    </xf>
    <xf numFmtId="0" fontId="76" fillId="0" borderId="0" xfId="0" applyFont="1" applyBorder="1" applyAlignment="1" applyProtection="1">
      <alignment horizontal="center"/>
    </xf>
    <xf numFmtId="0" fontId="77" fillId="0" borderId="0" xfId="0" applyFont="1" applyBorder="1" applyAlignment="1" applyProtection="1">
      <alignment horizontal="center"/>
    </xf>
    <xf numFmtId="0" fontId="76" fillId="0" borderId="0" xfId="0" applyFont="1" applyFill="1" applyBorder="1" applyAlignment="1" applyProtection="1">
      <alignment horizontal="center"/>
    </xf>
    <xf numFmtId="0" fontId="76" fillId="0" borderId="0" xfId="0" quotePrefix="1" applyFont="1" applyFill="1" applyBorder="1" applyAlignment="1" applyProtection="1">
      <alignment horizontal="center"/>
    </xf>
    <xf numFmtId="0" fontId="3" fillId="0" borderId="0" xfId="0" applyFont="1" applyBorder="1" applyAlignment="1" applyProtection="1">
      <alignment horizontal="center"/>
    </xf>
    <xf numFmtId="0" fontId="76" fillId="0" borderId="0" xfId="0" applyFont="1" applyFill="1" applyBorder="1" applyProtection="1"/>
    <xf numFmtId="0" fontId="80" fillId="0" borderId="0" xfId="0" applyFont="1" applyFill="1" applyBorder="1" applyProtection="1"/>
    <xf numFmtId="0" fontId="77" fillId="0" borderId="0" xfId="0" applyFont="1" applyBorder="1" applyProtection="1"/>
    <xf numFmtId="0" fontId="77" fillId="0" borderId="0" xfId="0" applyFont="1" applyFill="1" applyBorder="1" applyAlignment="1" applyProtection="1">
      <alignment horizontal="center"/>
    </xf>
    <xf numFmtId="0" fontId="3" fillId="0" borderId="0" xfId="0" applyFont="1" applyBorder="1" applyAlignment="1" applyProtection="1">
      <alignment horizontal="left"/>
    </xf>
    <xf numFmtId="0" fontId="77" fillId="0" borderId="17" xfId="0" applyFont="1" applyBorder="1" applyAlignment="1" applyProtection="1">
      <alignment horizontal="center"/>
    </xf>
    <xf numFmtId="0" fontId="3" fillId="0" borderId="17" xfId="0" applyFont="1" applyBorder="1" applyAlignment="1" applyProtection="1">
      <alignment horizontal="center"/>
    </xf>
    <xf numFmtId="0" fontId="77" fillId="0" borderId="17" xfId="0" applyFont="1" applyFill="1" applyBorder="1" applyAlignment="1" applyProtection="1">
      <alignment horizontal="center"/>
    </xf>
    <xf numFmtId="0" fontId="3" fillId="0" borderId="17" xfId="0" applyFont="1" applyBorder="1" applyProtection="1"/>
    <xf numFmtId="0" fontId="12" fillId="0" borderId="0" xfId="0" applyFont="1" applyBorder="1" applyProtection="1"/>
    <xf numFmtId="0" fontId="85" fillId="0" borderId="0" xfId="0" applyFont="1" applyFill="1" applyBorder="1" applyProtection="1"/>
    <xf numFmtId="0" fontId="77" fillId="0" borderId="0" xfId="0" applyFont="1" applyFill="1" applyBorder="1" applyProtection="1"/>
    <xf numFmtId="0" fontId="76" fillId="0" borderId="0" xfId="0" quotePrefix="1" applyFont="1" applyBorder="1" applyProtection="1"/>
    <xf numFmtId="14" fontId="76" fillId="0" borderId="0" xfId="0" applyNumberFormat="1" applyFont="1" applyBorder="1" applyAlignment="1" applyProtection="1">
      <alignment horizontal="center"/>
    </xf>
    <xf numFmtId="166" fontId="76" fillId="0" borderId="0" xfId="1" applyNumberFormat="1" applyFont="1" applyFill="1" applyBorder="1" applyProtection="1"/>
    <xf numFmtId="166" fontId="76" fillId="0" borderId="0" xfId="1" applyNumberFormat="1" applyFont="1" applyBorder="1" applyAlignment="1" applyProtection="1">
      <alignment horizontal="center"/>
    </xf>
    <xf numFmtId="1" fontId="76" fillId="0" borderId="0" xfId="1" applyNumberFormat="1" applyFont="1" applyBorder="1" applyAlignment="1" applyProtection="1">
      <alignment horizontal="center"/>
    </xf>
    <xf numFmtId="37" fontId="76" fillId="0" borderId="0" xfId="0" applyNumberFormat="1" applyFont="1" applyFill="1" applyBorder="1" applyAlignment="1" applyProtection="1">
      <alignment horizontal="right"/>
    </xf>
    <xf numFmtId="10" fontId="76" fillId="0" borderId="0" xfId="0" applyNumberFormat="1" applyFont="1" applyBorder="1" applyProtection="1"/>
    <xf numFmtId="168" fontId="76" fillId="0" borderId="0" xfId="0" applyNumberFormat="1" applyFont="1" applyFill="1" applyBorder="1" applyAlignment="1" applyProtection="1"/>
    <xf numFmtId="168" fontId="99" fillId="0" borderId="0" xfId="0" applyNumberFormat="1" applyFont="1" applyFill="1" applyBorder="1" applyProtection="1"/>
    <xf numFmtId="44" fontId="76" fillId="0" borderId="0" xfId="0" applyNumberFormat="1" applyFont="1" applyBorder="1" applyAlignment="1" applyProtection="1">
      <alignment horizontal="right"/>
    </xf>
    <xf numFmtId="44" fontId="77" fillId="0" borderId="0" xfId="0" applyNumberFormat="1" applyFont="1" applyBorder="1" applyProtection="1"/>
    <xf numFmtId="44" fontId="76" fillId="0" borderId="0" xfId="0" applyNumberFormat="1" applyFont="1" applyBorder="1" applyProtection="1"/>
    <xf numFmtId="14" fontId="84" fillId="0" borderId="0" xfId="0" quotePrefix="1" applyNumberFormat="1" applyFont="1" applyBorder="1" applyAlignment="1" applyProtection="1">
      <alignment horizontal="center"/>
    </xf>
    <xf numFmtId="42" fontId="76" fillId="0" borderId="0" xfId="0" applyNumberFormat="1" applyFont="1" applyBorder="1" applyProtection="1"/>
    <xf numFmtId="170" fontId="76" fillId="0" borderId="0" xfId="0" applyNumberFormat="1" applyFont="1" applyBorder="1" applyProtection="1"/>
    <xf numFmtId="0" fontId="76" fillId="0" borderId="0" xfId="0" applyFont="1" applyProtection="1"/>
    <xf numFmtId="172" fontId="76" fillId="0" borderId="0" xfId="0" applyNumberFormat="1" applyFont="1" applyBorder="1" applyProtection="1"/>
    <xf numFmtId="0" fontId="81" fillId="0" borderId="18" xfId="0" applyNumberFormat="1" applyFont="1" applyFill="1" applyBorder="1" applyProtection="1"/>
    <xf numFmtId="14" fontId="77" fillId="0" borderId="0" xfId="0" applyNumberFormat="1" applyFont="1" applyBorder="1" applyAlignment="1" applyProtection="1">
      <alignment horizontal="center"/>
    </xf>
    <xf numFmtId="44" fontId="87" fillId="0" borderId="0" xfId="0" applyNumberFormat="1" applyFont="1" applyBorder="1" applyProtection="1"/>
    <xf numFmtId="44" fontId="77" fillId="0" borderId="0" xfId="0" applyNumberFormat="1" applyFont="1" applyBorder="1" applyAlignment="1" applyProtection="1">
      <alignment horizontal="center"/>
    </xf>
    <xf numFmtId="14" fontId="86" fillId="0" borderId="0" xfId="0" quotePrefix="1" applyNumberFormat="1" applyFont="1" applyBorder="1" applyAlignment="1" applyProtection="1">
      <alignment horizontal="center"/>
    </xf>
    <xf numFmtId="0" fontId="79" fillId="0" borderId="0" xfId="0" applyFont="1" applyBorder="1" applyProtection="1"/>
    <xf numFmtId="172" fontId="3" fillId="0" borderId="0" xfId="0" applyNumberFormat="1" applyFont="1" applyFill="1" applyBorder="1" applyProtection="1"/>
    <xf numFmtId="172" fontId="79" fillId="0" borderId="0" xfId="0" applyNumberFormat="1" applyFont="1" applyBorder="1" applyProtection="1"/>
    <xf numFmtId="44" fontId="5" fillId="0" borderId="0" xfId="0" applyNumberFormat="1" applyFont="1" applyBorder="1" applyProtection="1"/>
    <xf numFmtId="0" fontId="77" fillId="0" borderId="0" xfId="0" applyFont="1" applyProtection="1"/>
    <xf numFmtId="0" fontId="77" fillId="0" borderId="19" xfId="0" applyFont="1" applyBorder="1" applyProtection="1"/>
    <xf numFmtId="0" fontId="77" fillId="0" borderId="0" xfId="0" quotePrefix="1" applyFont="1" applyBorder="1" applyAlignment="1" applyProtection="1">
      <alignment horizontal="center"/>
    </xf>
    <xf numFmtId="0" fontId="3" fillId="0" borderId="0" xfId="0" quotePrefix="1" applyFont="1" applyBorder="1" applyAlignment="1" applyProtection="1">
      <alignment horizontal="center"/>
    </xf>
    <xf numFmtId="14" fontId="77" fillId="0" borderId="0" xfId="0" applyNumberFormat="1" applyFont="1" applyBorder="1" applyProtection="1"/>
    <xf numFmtId="0" fontId="77" fillId="0" borderId="0" xfId="0" applyFont="1" applyAlignment="1" applyProtection="1">
      <alignment horizontal="center"/>
    </xf>
    <xf numFmtId="0" fontId="77" fillId="0" borderId="9" xfId="0" applyFont="1" applyBorder="1" applyAlignment="1" applyProtection="1">
      <alignment horizontal="center"/>
    </xf>
    <xf numFmtId="44" fontId="77" fillId="0" borderId="0" xfId="0" applyNumberFormat="1" applyFont="1" applyFill="1" applyBorder="1" applyProtection="1"/>
    <xf numFmtId="0" fontId="77" fillId="0" borderId="10" xfId="0" applyFont="1" applyBorder="1" applyAlignment="1" applyProtection="1">
      <alignment horizontal="center"/>
    </xf>
    <xf numFmtId="0" fontId="82" fillId="0" borderId="0" xfId="0" applyFont="1" applyBorder="1" applyProtection="1"/>
    <xf numFmtId="0" fontId="82" fillId="0" borderId="17" xfId="0" applyFont="1" applyBorder="1" applyAlignment="1" applyProtection="1">
      <alignment horizontal="center"/>
    </xf>
    <xf numFmtId="0" fontId="82" fillId="0" borderId="0" xfId="0" applyFont="1" applyBorder="1" applyAlignment="1" applyProtection="1">
      <alignment horizontal="center"/>
    </xf>
    <xf numFmtId="44" fontId="77" fillId="0" borderId="0" xfId="0" applyNumberFormat="1" applyFont="1" applyBorder="1" applyAlignment="1" applyProtection="1">
      <alignment horizontal="right"/>
    </xf>
    <xf numFmtId="0" fontId="76" fillId="0" borderId="0" xfId="0" quotePrefix="1" applyFont="1" applyBorder="1" applyAlignment="1" applyProtection="1">
      <alignment horizontal="center"/>
    </xf>
    <xf numFmtId="14" fontId="76" fillId="0" borderId="0" xfId="0" quotePrefix="1" applyNumberFormat="1" applyFont="1" applyBorder="1" applyAlignment="1" applyProtection="1">
      <alignment horizontal="center"/>
    </xf>
    <xf numFmtId="42" fontId="76" fillId="0" borderId="0" xfId="3" applyNumberFormat="1" applyFont="1" applyBorder="1" applyProtection="1"/>
    <xf numFmtId="172" fontId="76" fillId="0" borderId="11" xfId="0" applyNumberFormat="1" applyFont="1" applyBorder="1" applyProtection="1"/>
    <xf numFmtId="172" fontId="77" fillId="0" borderId="0" xfId="0" applyNumberFormat="1" applyFont="1" applyBorder="1" applyAlignment="1" applyProtection="1">
      <alignment horizontal="right"/>
    </xf>
    <xf numFmtId="166" fontId="76" fillId="0" borderId="0" xfId="3" applyNumberFormat="1" applyFont="1" applyBorder="1" applyProtection="1"/>
    <xf numFmtId="170" fontId="76" fillId="0" borderId="0" xfId="0" applyNumberFormat="1" applyFont="1" applyProtection="1"/>
    <xf numFmtId="14" fontId="77" fillId="0" borderId="0" xfId="0" quotePrefix="1" applyNumberFormat="1" applyFont="1" applyBorder="1" applyAlignment="1" applyProtection="1">
      <alignment horizontal="center"/>
    </xf>
    <xf numFmtId="42" fontId="77" fillId="0" borderId="0" xfId="3" applyNumberFormat="1" applyFont="1" applyBorder="1" applyProtection="1"/>
    <xf numFmtId="166" fontId="77" fillId="0" borderId="0" xfId="3" applyNumberFormat="1" applyFont="1" applyBorder="1" applyProtection="1"/>
    <xf numFmtId="42" fontId="77" fillId="0" borderId="0" xfId="0" applyNumberFormat="1" applyFont="1" applyBorder="1" applyProtection="1"/>
    <xf numFmtId="10" fontId="77" fillId="0" borderId="0" xfId="3" applyNumberFormat="1" applyFont="1" applyBorder="1" applyProtection="1"/>
    <xf numFmtId="172" fontId="77" fillId="0" borderId="0" xfId="0" applyNumberFormat="1" applyFont="1" applyBorder="1" applyProtection="1"/>
    <xf numFmtId="176" fontId="77" fillId="0" borderId="0" xfId="0" applyNumberFormat="1" applyFont="1" applyBorder="1" applyProtection="1"/>
    <xf numFmtId="43" fontId="77" fillId="0" borderId="0" xfId="3" applyFont="1" applyBorder="1" applyProtection="1"/>
    <xf numFmtId="184" fontId="77" fillId="0" borderId="0" xfId="0" applyNumberFormat="1" applyFont="1" applyBorder="1" applyProtection="1"/>
    <xf numFmtId="172" fontId="3" fillId="0" borderId="0" xfId="0" applyNumberFormat="1" applyFont="1" applyBorder="1" applyProtection="1"/>
    <xf numFmtId="0" fontId="79" fillId="0" borderId="0" xfId="0" applyFont="1" applyProtection="1"/>
    <xf numFmtId="165" fontId="3" fillId="0" borderId="0" xfId="1" applyNumberFormat="1" applyFont="1" applyProtection="1"/>
    <xf numFmtId="10" fontId="3" fillId="0" borderId="0" xfId="20" applyNumberFormat="1" applyFont="1" applyProtection="1"/>
    <xf numFmtId="0" fontId="3" fillId="5" borderId="0" xfId="0" applyFont="1" applyFill="1" applyProtection="1">
      <protection locked="0"/>
    </xf>
    <xf numFmtId="14" fontId="3" fillId="5" borderId="0" xfId="0" applyNumberFormat="1" applyFont="1" applyFill="1" applyBorder="1" applyAlignment="1" applyProtection="1">
      <alignment horizontal="center"/>
      <protection locked="0"/>
    </xf>
    <xf numFmtId="166" fontId="3" fillId="5" borderId="0" xfId="1" applyNumberFormat="1" applyFont="1" applyFill="1" applyProtection="1">
      <protection locked="0"/>
    </xf>
    <xf numFmtId="10" fontId="3" fillId="5" borderId="0" xfId="0" applyNumberFormat="1" applyFont="1" applyFill="1" applyProtection="1">
      <protection locked="0"/>
    </xf>
    <xf numFmtId="168" fontId="3" fillId="5" borderId="0" xfId="20" applyNumberFormat="1" applyFont="1" applyFill="1" applyProtection="1">
      <protection locked="0"/>
    </xf>
    <xf numFmtId="168" fontId="3" fillId="5" borderId="0" xfId="0" applyNumberFormat="1" applyFont="1" applyFill="1" applyProtection="1">
      <protection locked="0"/>
    </xf>
    <xf numFmtId="14" fontId="3" fillId="5" borderId="0" xfId="1" applyNumberFormat="1" applyFont="1" applyFill="1" applyProtection="1">
      <protection locked="0"/>
    </xf>
    <xf numFmtId="166" fontId="3" fillId="5" borderId="0" xfId="0" applyNumberFormat="1" applyFont="1" applyFill="1" applyProtection="1">
      <protection locked="0"/>
    </xf>
    <xf numFmtId="0" fontId="4" fillId="0" borderId="20" xfId="0" applyFont="1" applyBorder="1" applyProtection="1"/>
    <xf numFmtId="0" fontId="4" fillId="0" borderId="12" xfId="0" applyFont="1" applyBorder="1" applyAlignment="1" applyProtection="1">
      <alignment horizontal="center"/>
    </xf>
    <xf numFmtId="0" fontId="18" fillId="0" borderId="9" xfId="0" applyFont="1" applyFill="1" applyBorder="1" applyProtection="1"/>
    <xf numFmtId="0" fontId="4" fillId="0" borderId="1" xfId="0" applyFont="1" applyBorder="1" applyProtection="1"/>
    <xf numFmtId="0" fontId="4" fillId="0" borderId="6" xfId="0" applyFont="1" applyBorder="1" applyAlignment="1" applyProtection="1">
      <alignment horizontal="center"/>
    </xf>
    <xf numFmtId="0" fontId="52" fillId="0" borderId="0" xfId="0" applyFont="1" applyProtection="1"/>
    <xf numFmtId="42" fontId="4" fillId="0" borderId="0" xfId="0" applyNumberFormat="1" applyFont="1" applyProtection="1"/>
    <xf numFmtId="14" fontId="4" fillId="0" borderId="0" xfId="0" applyNumberFormat="1" applyFont="1" applyFill="1" applyProtection="1"/>
    <xf numFmtId="42" fontId="4" fillId="0" borderId="0" xfId="0" applyNumberFormat="1" applyFont="1" applyFill="1" applyProtection="1"/>
    <xf numFmtId="0" fontId="4" fillId="0" borderId="0" xfId="9" applyFont="1" applyProtection="1"/>
    <xf numFmtId="14" fontId="4" fillId="0" borderId="0" xfId="0" applyNumberFormat="1" applyFont="1" applyProtection="1"/>
    <xf numFmtId="6" fontId="4" fillId="0" borderId="0" xfId="0" applyNumberFormat="1" applyFont="1" applyProtection="1"/>
    <xf numFmtId="14" fontId="5" fillId="0" borderId="0" xfId="0" applyNumberFormat="1" applyFont="1" applyProtection="1"/>
    <xf numFmtId="6" fontId="5" fillId="0" borderId="0" xfId="0" applyNumberFormat="1" applyFont="1" applyProtection="1"/>
    <xf numFmtId="0" fontId="20" fillId="0" borderId="0" xfId="0" applyFont="1" applyProtection="1"/>
    <xf numFmtId="3" fontId="44" fillId="0" borderId="0" xfId="0" applyNumberFormat="1" applyFont="1" applyAlignment="1" applyProtection="1">
      <alignment horizontal="center"/>
    </xf>
    <xf numFmtId="0" fontId="4" fillId="0" borderId="1" xfId="0" applyNumberFormat="1" applyFont="1" applyFill="1" applyBorder="1" applyAlignment="1" applyProtection="1">
      <alignment horizontal="right"/>
    </xf>
    <xf numFmtId="166" fontId="4" fillId="0" borderId="0" xfId="0" applyNumberFormat="1" applyFont="1" applyProtection="1"/>
    <xf numFmtId="166" fontId="4" fillId="0" borderId="0" xfId="0" applyNumberFormat="1" applyFont="1" applyBorder="1" applyProtection="1"/>
    <xf numFmtId="166" fontId="4" fillId="0" borderId="6" xfId="0" applyNumberFormat="1" applyFont="1" applyBorder="1" applyProtection="1"/>
    <xf numFmtId="0" fontId="18" fillId="0" borderId="0" xfId="0" applyFont="1" applyAlignment="1" applyProtection="1">
      <alignment horizontal="center"/>
    </xf>
    <xf numFmtId="166" fontId="4" fillId="0" borderId="14" xfId="1" applyNumberFormat="1" applyFont="1" applyFill="1" applyBorder="1" applyProtection="1"/>
    <xf numFmtId="37" fontId="4" fillId="0" borderId="14" xfId="0" applyNumberFormat="1" applyFont="1" applyFill="1" applyBorder="1" applyProtection="1"/>
    <xf numFmtId="166" fontId="4" fillId="0" borderId="0" xfId="0" applyNumberFormat="1" applyFont="1" applyFill="1" applyBorder="1" applyProtection="1"/>
    <xf numFmtId="3" fontId="50" fillId="0" borderId="0" xfId="0" applyNumberFormat="1" applyFont="1" applyAlignment="1" applyProtection="1">
      <alignment horizontal="center"/>
    </xf>
    <xf numFmtId="166" fontId="4" fillId="0" borderId="0" xfId="1" applyNumberFormat="1" applyFont="1" applyProtection="1"/>
    <xf numFmtId="166" fontId="4" fillId="0" borderId="14" xfId="0" applyNumberFormat="1" applyFont="1" applyBorder="1" applyProtection="1"/>
    <xf numFmtId="166" fontId="4" fillId="4" borderId="0" xfId="0" applyNumberFormat="1" applyFont="1" applyFill="1" applyProtection="1">
      <protection locked="0"/>
    </xf>
    <xf numFmtId="0" fontId="18" fillId="4" borderId="0" xfId="0" applyFont="1" applyFill="1" applyAlignment="1" applyProtection="1">
      <alignment horizontal="center"/>
      <protection locked="0"/>
    </xf>
    <xf numFmtId="3" fontId="4" fillId="0" borderId="0" xfId="0" applyNumberFormat="1" applyFont="1" applyBorder="1" applyProtection="1"/>
    <xf numFmtId="0" fontId="5" fillId="0" borderId="0" xfId="0" applyFont="1" applyBorder="1" applyAlignment="1" applyProtection="1">
      <alignment horizontal="center"/>
    </xf>
    <xf numFmtId="3" fontId="5" fillId="0" borderId="0" xfId="0" applyNumberFormat="1" applyFont="1" applyBorder="1" applyAlignment="1" applyProtection="1">
      <alignment horizontal="center"/>
    </xf>
    <xf numFmtId="3" fontId="4" fillId="0" borderId="0" xfId="0" applyNumberFormat="1" applyFont="1" applyAlignment="1" applyProtection="1">
      <alignment horizontal="center"/>
    </xf>
    <xf numFmtId="3" fontId="4" fillId="0" borderId="1" xfId="0" applyNumberFormat="1" applyFont="1" applyBorder="1" applyAlignment="1" applyProtection="1">
      <alignment horizontal="center"/>
    </xf>
    <xf numFmtId="0" fontId="5" fillId="0" borderId="0" xfId="0" applyFont="1" applyFill="1" applyBorder="1" applyAlignment="1" applyProtection="1">
      <alignment horizontal="center"/>
    </xf>
    <xf numFmtId="37" fontId="4" fillId="0" borderId="0" xfId="0" applyNumberFormat="1" applyFont="1" applyFill="1" applyBorder="1" applyAlignment="1" applyProtection="1">
      <alignment horizontal="center"/>
    </xf>
    <xf numFmtId="175" fontId="4" fillId="0" borderId="0" xfId="0" applyNumberFormat="1" applyFont="1" applyFill="1" applyBorder="1" applyAlignment="1" applyProtection="1">
      <alignment horizontal="center"/>
    </xf>
    <xf numFmtId="37" fontId="4" fillId="0" borderId="0" xfId="0" applyNumberFormat="1" applyFont="1" applyBorder="1" applyAlignment="1" applyProtection="1">
      <alignment horizontal="center"/>
    </xf>
    <xf numFmtId="0" fontId="4" fillId="4" borderId="0" xfId="0" quotePrefix="1" applyFont="1" applyFill="1" applyProtection="1">
      <protection locked="0"/>
    </xf>
    <xf numFmtId="0" fontId="18" fillId="4" borderId="0" xfId="0" quotePrefix="1" applyFont="1" applyFill="1" applyProtection="1">
      <protection locked="0"/>
    </xf>
    <xf numFmtId="166" fontId="4" fillId="4" borderId="0" xfId="0" quotePrefix="1" applyNumberFormat="1" applyFont="1" applyFill="1" applyProtection="1">
      <protection locked="0"/>
    </xf>
    <xf numFmtId="0" fontId="4" fillId="0" borderId="0" xfId="0" applyFont="1" applyFill="1" applyProtection="1">
      <protection locked="0"/>
    </xf>
    <xf numFmtId="0" fontId="4" fillId="0" borderId="0" xfId="9" applyFont="1" applyFill="1" applyProtection="1">
      <protection locked="0"/>
    </xf>
    <xf numFmtId="1" fontId="3" fillId="0" borderId="0" xfId="11" applyNumberFormat="1" applyFont="1" applyFill="1" applyBorder="1" applyAlignment="1" applyProtection="1">
      <alignment horizontal="right" vertical="top"/>
      <protection locked="0"/>
    </xf>
    <xf numFmtId="0" fontId="3" fillId="0" borderId="0" xfId="11" applyFont="1" applyFill="1" applyBorder="1" applyAlignment="1" applyProtection="1">
      <alignment vertical="top"/>
      <protection locked="0"/>
    </xf>
    <xf numFmtId="41" fontId="3" fillId="0" borderId="0" xfId="11" applyNumberFormat="1" applyFont="1" applyFill="1" applyBorder="1" applyAlignment="1" applyProtection="1">
      <alignment horizontal="right" vertical="top"/>
      <protection locked="0"/>
    </xf>
    <xf numFmtId="41" fontId="3" fillId="0" borderId="0" xfId="11" applyNumberFormat="1" applyFont="1" applyFill="1" applyBorder="1" applyProtection="1">
      <protection locked="0"/>
    </xf>
    <xf numFmtId="166" fontId="3" fillId="0" borderId="0" xfId="11" applyNumberFormat="1" applyFont="1" applyFill="1" applyAlignment="1" applyProtection="1">
      <alignment vertical="top"/>
      <protection locked="0"/>
    </xf>
    <xf numFmtId="41" fontId="3" fillId="0" borderId="0" xfId="11" applyNumberFormat="1" applyFont="1" applyFill="1" applyAlignment="1" applyProtection="1">
      <alignment horizontal="right" vertical="top"/>
      <protection locked="0"/>
    </xf>
    <xf numFmtId="41" fontId="3" fillId="0" borderId="0" xfId="11" applyNumberFormat="1" applyFont="1" applyFill="1" applyProtection="1">
      <protection locked="0"/>
    </xf>
    <xf numFmtId="0" fontId="3" fillId="0" borderId="0" xfId="11" applyFont="1" applyFill="1" applyBorder="1" applyAlignment="1" applyProtection="1">
      <alignment vertical="top" wrapText="1"/>
      <protection locked="0"/>
    </xf>
    <xf numFmtId="0" fontId="3" fillId="0" borderId="0" xfId="11" applyFont="1" applyFill="1" applyBorder="1" applyAlignment="1" applyProtection="1">
      <alignment horizontal="left" vertical="top"/>
      <protection locked="0"/>
    </xf>
    <xf numFmtId="1" fontId="3" fillId="0" borderId="0" xfId="11" applyNumberFormat="1" applyFont="1" applyFill="1" applyBorder="1" applyAlignment="1" applyProtection="1">
      <alignment horizontal="right"/>
      <protection locked="0"/>
    </xf>
    <xf numFmtId="1" fontId="3" fillId="0" borderId="0" xfId="11" applyNumberFormat="1" applyFont="1" applyFill="1" applyAlignment="1" applyProtection="1">
      <alignment horizontal="right"/>
      <protection locked="0"/>
    </xf>
    <xf numFmtId="49" fontId="3" fillId="4" borderId="0" xfId="11" applyNumberFormat="1" applyFont="1" applyFill="1" applyAlignment="1" applyProtection="1">
      <alignment horizontal="left" vertical="top"/>
      <protection locked="0"/>
    </xf>
    <xf numFmtId="1" fontId="3" fillId="4" borderId="0" xfId="11" applyNumberFormat="1" applyFont="1" applyFill="1" applyAlignment="1" applyProtection="1">
      <alignment horizontal="right" vertical="top"/>
      <protection locked="0"/>
    </xf>
    <xf numFmtId="1" fontId="3" fillId="4" borderId="0" xfId="11" applyNumberFormat="1" applyFont="1" applyFill="1" applyAlignment="1" applyProtection="1">
      <alignment horizontal="left" vertical="top"/>
      <protection locked="0"/>
    </xf>
    <xf numFmtId="1" fontId="3" fillId="4" borderId="0" xfId="11" applyNumberFormat="1" applyFont="1" applyFill="1" applyAlignment="1" applyProtection="1">
      <alignment horizontal="center" vertical="top"/>
      <protection locked="0"/>
    </xf>
    <xf numFmtId="1" fontId="3" fillId="4" borderId="0" xfId="11" applyNumberFormat="1" applyFont="1" applyFill="1" applyAlignment="1" applyProtection="1">
      <alignment vertical="top"/>
      <protection locked="0"/>
    </xf>
    <xf numFmtId="1" fontId="3" fillId="4" borderId="0" xfId="11" applyNumberFormat="1" applyFont="1" applyFill="1" applyAlignment="1" applyProtection="1">
      <alignment horizontal="left" vertical="top" wrapText="1"/>
      <protection locked="0"/>
    </xf>
    <xf numFmtId="37" fontId="77" fillId="0" borderId="6" xfId="0" applyNumberFormat="1" applyFont="1" applyBorder="1" applyProtection="1">
      <protection locked="0"/>
    </xf>
    <xf numFmtId="166" fontId="93" fillId="0" borderId="0" xfId="1" applyNumberFormat="1" applyFont="1" applyFill="1" applyAlignment="1">
      <alignment horizontal="center"/>
    </xf>
    <xf numFmtId="37" fontId="4" fillId="0" borderId="6" xfId="0" applyNumberFormat="1" applyFont="1" applyBorder="1"/>
    <xf numFmtId="37" fontId="4" fillId="0" borderId="1" xfId="0" applyNumberFormat="1" applyFont="1" applyFill="1" applyBorder="1" applyAlignment="1" applyProtection="1">
      <alignment horizontal="right"/>
    </xf>
    <xf numFmtId="0" fontId="3" fillId="0" borderId="21" xfId="11" applyFont="1" applyFill="1" applyBorder="1" applyAlignment="1" applyProtection="1">
      <alignment horizontal="center" vertical="top"/>
      <protection locked="0"/>
    </xf>
    <xf numFmtId="0" fontId="3" fillId="0" borderId="0" xfId="11" applyFont="1" applyFill="1" applyBorder="1" applyProtection="1">
      <protection locked="0"/>
    </xf>
    <xf numFmtId="0" fontId="3" fillId="0" borderId="0" xfId="11" applyFont="1" applyFill="1" applyProtection="1">
      <protection locked="0"/>
    </xf>
    <xf numFmtId="4" fontId="4" fillId="0" borderId="6" xfId="0" applyNumberFormat="1" applyFont="1" applyBorder="1" applyProtection="1"/>
    <xf numFmtId="3" fontId="4" fillId="0" borderId="6" xfId="0" applyNumberFormat="1" applyFont="1" applyBorder="1" applyProtection="1"/>
    <xf numFmtId="0" fontId="4" fillId="5" borderId="0" xfId="0" applyFont="1" applyFill="1" applyProtection="1">
      <protection locked="0"/>
    </xf>
    <xf numFmtId="42" fontId="4" fillId="5" borderId="0" xfId="0" applyNumberFormat="1" applyFont="1" applyFill="1" applyProtection="1">
      <protection locked="0"/>
    </xf>
    <xf numFmtId="14" fontId="4" fillId="5" borderId="0" xfId="0" applyNumberFormat="1" applyFont="1" applyFill="1" applyProtection="1">
      <protection locked="0"/>
    </xf>
    <xf numFmtId="0" fontId="4" fillId="5" borderId="0" xfId="9" applyFont="1" applyFill="1" applyProtection="1">
      <protection locked="0"/>
    </xf>
    <xf numFmtId="42" fontId="4" fillId="5" borderId="0" xfId="9" applyNumberFormat="1" applyFont="1" applyFill="1" applyProtection="1">
      <protection locked="0"/>
    </xf>
    <xf numFmtId="14" fontId="4" fillId="5" borderId="0" xfId="9" applyNumberFormat="1" applyFont="1" applyFill="1" applyProtection="1">
      <protection locked="0"/>
    </xf>
    <xf numFmtId="14" fontId="4" fillId="5" borderId="0" xfId="9" applyNumberFormat="1" applyFont="1" applyFill="1" applyAlignment="1" applyProtection="1">
      <alignment horizontal="center"/>
      <protection locked="0"/>
    </xf>
    <xf numFmtId="37" fontId="4" fillId="5" borderId="0" xfId="9" applyNumberFormat="1" applyFont="1" applyFill="1" applyAlignment="1" applyProtection="1">
      <alignment horizontal="center"/>
      <protection locked="0"/>
    </xf>
    <xf numFmtId="14" fontId="3" fillId="7" borderId="0" xfId="11" applyNumberFormat="1" applyFont="1" applyFill="1" applyAlignment="1" applyProtection="1">
      <alignment horizontal="right" vertical="top"/>
      <protection locked="0"/>
    </xf>
    <xf numFmtId="41" fontId="3" fillId="7" borderId="0" xfId="11" applyNumberFormat="1" applyFont="1" applyFill="1" applyAlignment="1" applyProtection="1">
      <alignment horizontal="right" vertical="top"/>
      <protection locked="0"/>
    </xf>
    <xf numFmtId="41" fontId="3" fillId="7" borderId="0" xfId="11" applyNumberFormat="1" applyFont="1" applyFill="1" applyBorder="1" applyAlignment="1" applyProtection="1">
      <alignment horizontal="right" vertical="top"/>
      <protection locked="0"/>
    </xf>
    <xf numFmtId="14" fontId="3" fillId="7" borderId="0" xfId="11" applyNumberFormat="1" applyFont="1" applyFill="1" applyBorder="1" applyAlignment="1" applyProtection="1">
      <alignment horizontal="right" vertical="top"/>
      <protection locked="0"/>
    </xf>
    <xf numFmtId="41" fontId="4" fillId="0" borderId="0" xfId="0" applyNumberFormat="1" applyFont="1" applyBorder="1"/>
    <xf numFmtId="42" fontId="77" fillId="5" borderId="0" xfId="0" applyNumberFormat="1" applyFont="1" applyFill="1" applyProtection="1">
      <protection locked="0"/>
    </xf>
    <xf numFmtId="14" fontId="77" fillId="5" borderId="0" xfId="0" applyNumberFormat="1" applyFont="1" applyFill="1" applyProtection="1">
      <protection locked="0"/>
    </xf>
    <xf numFmtId="43" fontId="101" fillId="0" borderId="0" xfId="1" applyFont="1" applyAlignment="1" applyProtection="1">
      <alignment vertical="top"/>
    </xf>
    <xf numFmtId="0" fontId="18" fillId="0" borderId="0" xfId="11" applyFont="1" applyFill="1" applyAlignment="1">
      <alignment wrapText="1"/>
    </xf>
    <xf numFmtId="166" fontId="77" fillId="0" borderId="0" xfId="1" applyNumberFormat="1" applyFont="1" applyBorder="1" applyAlignment="1" applyProtection="1">
      <alignment vertical="top"/>
      <protection locked="0"/>
    </xf>
    <xf numFmtId="166" fontId="77" fillId="0" borderId="0" xfId="1" applyNumberFormat="1" applyFont="1" applyBorder="1" applyAlignment="1" applyProtection="1">
      <alignment horizontal="center" vertical="top"/>
      <protection locked="0"/>
    </xf>
    <xf numFmtId="10" fontId="3" fillId="4" borderId="0" xfId="20" applyNumberFormat="1" applyFont="1" applyFill="1" applyProtection="1">
      <protection locked="0"/>
    </xf>
    <xf numFmtId="43" fontId="3" fillId="7" borderId="0" xfId="11" applyNumberFormat="1" applyFont="1" applyFill="1" applyAlignment="1" applyProtection="1">
      <alignment horizontal="right" vertical="top"/>
      <protection locked="0"/>
    </xf>
    <xf numFmtId="0" fontId="102" fillId="0" borderId="0" xfId="11" applyFont="1" applyFill="1" applyBorder="1" applyAlignment="1" applyProtection="1">
      <alignment vertical="top"/>
      <protection locked="0"/>
    </xf>
    <xf numFmtId="14" fontId="102" fillId="7" borderId="0" xfId="11" applyNumberFormat="1" applyFont="1" applyFill="1" applyBorder="1" applyAlignment="1" applyProtection="1">
      <alignment horizontal="right" vertical="top"/>
      <protection locked="0"/>
    </xf>
    <xf numFmtId="0" fontId="102" fillId="0" borderId="0" xfId="11" applyFont="1" applyFill="1" applyAlignment="1">
      <alignment horizontal="center" vertical="top"/>
    </xf>
    <xf numFmtId="1" fontId="102" fillId="0" borderId="0" xfId="11" applyNumberFormat="1" applyFont="1" applyFill="1" applyAlignment="1">
      <alignment horizontal="right"/>
    </xf>
    <xf numFmtId="41" fontId="102" fillId="0" borderId="0" xfId="11" applyNumberFormat="1" applyFont="1" applyFill="1" applyAlignment="1">
      <alignment horizontal="right" vertical="top"/>
    </xf>
    <xf numFmtId="0" fontId="102" fillId="0" borderId="0" xfId="11" applyFont="1" applyFill="1" applyProtection="1">
      <protection locked="0"/>
    </xf>
    <xf numFmtId="41" fontId="102" fillId="0" borderId="0" xfId="11" applyNumberFormat="1" applyFont="1" applyFill="1" applyAlignment="1" applyProtection="1">
      <alignment horizontal="right" vertical="top"/>
      <protection locked="0"/>
    </xf>
    <xf numFmtId="0" fontId="102" fillId="0" borderId="0" xfId="11" applyFont="1" applyFill="1" applyBorder="1" applyAlignment="1" applyProtection="1">
      <alignment horizontal="left" vertical="top"/>
      <protection locked="0"/>
    </xf>
    <xf numFmtId="0" fontId="3" fillId="2" borderId="0" xfId="11" applyFont="1" applyFill="1" applyBorder="1" applyAlignment="1" applyProtection="1">
      <alignment horizontal="center" vertical="top"/>
      <protection locked="0"/>
    </xf>
    <xf numFmtId="39" fontId="103" fillId="0" borderId="0" xfId="0" applyNumberFormat="1" applyFont="1" applyFill="1" applyProtection="1"/>
    <xf numFmtId="49" fontId="3" fillId="0" borderId="0" xfId="0" applyNumberFormat="1" applyFont="1" applyFill="1" applyBorder="1" applyAlignment="1">
      <alignment vertical="top" wrapText="1"/>
    </xf>
    <xf numFmtId="49" fontId="3" fillId="0" borderId="0" xfId="0" applyNumberFormat="1" applyFont="1" applyFill="1" applyBorder="1" applyAlignment="1">
      <alignment vertical="top"/>
    </xf>
    <xf numFmtId="0" fontId="3" fillId="0" borderId="0" xfId="0" applyFont="1" applyFill="1" applyBorder="1" applyAlignment="1">
      <alignment horizontal="center" vertical="top"/>
    </xf>
    <xf numFmtId="0" fontId="3" fillId="0" borderId="0" xfId="0" quotePrefix="1" applyFont="1" applyFill="1" applyBorder="1" applyAlignment="1">
      <alignment horizontal="left" vertical="top"/>
    </xf>
    <xf numFmtId="37" fontId="4" fillId="0" borderId="0" xfId="1" applyNumberFormat="1" applyFont="1" applyFill="1" applyAlignment="1">
      <alignment horizontal="right"/>
    </xf>
    <xf numFmtId="2" fontId="9" fillId="0" borderId="0" xfId="0" applyNumberFormat="1" applyFont="1" applyAlignment="1">
      <alignment horizontal="center"/>
    </xf>
    <xf numFmtId="1" fontId="3" fillId="0" borderId="23" xfId="11" applyNumberFormat="1" applyFont="1" applyFill="1" applyBorder="1" applyAlignment="1" applyProtection="1">
      <alignment horizontal="right"/>
      <protection locked="0"/>
    </xf>
    <xf numFmtId="41" fontId="3" fillId="0" borderId="23" xfId="11" applyNumberFormat="1" applyFont="1" applyFill="1" applyBorder="1" applyProtection="1">
      <protection locked="0"/>
    </xf>
    <xf numFmtId="187" fontId="3" fillId="0" borderId="0" xfId="11" applyNumberFormat="1" applyFont="1" applyFill="1" applyAlignment="1" applyProtection="1">
      <alignment horizontal="right" vertical="top"/>
      <protection locked="0"/>
    </xf>
    <xf numFmtId="43" fontId="3" fillId="0" borderId="0" xfId="11" applyNumberFormat="1" applyFont="1" applyFill="1" applyAlignment="1">
      <alignment horizontal="right" vertical="top"/>
    </xf>
    <xf numFmtId="187" fontId="3" fillId="0" borderId="0" xfId="11" applyNumberFormat="1" applyFont="1" applyFill="1"/>
    <xf numFmtId="41" fontId="3" fillId="0" borderId="12" xfId="11" applyNumberFormat="1" applyFont="1" applyBorder="1" applyAlignment="1" applyProtection="1">
      <alignment vertical="top"/>
    </xf>
    <xf numFmtId="41" fontId="3" fillId="0" borderId="7" xfId="11" applyNumberFormat="1" applyFont="1" applyBorder="1" applyAlignment="1" applyProtection="1">
      <alignment vertical="top"/>
    </xf>
    <xf numFmtId="41" fontId="3" fillId="0" borderId="6" xfId="11" applyNumberFormat="1" applyFont="1" applyBorder="1" applyAlignment="1" applyProtection="1">
      <alignment vertical="top"/>
    </xf>
    <xf numFmtId="0" fontId="15" fillId="0" borderId="0" xfId="11" applyFont="1" applyFill="1" applyAlignment="1" applyProtection="1">
      <alignment horizontal="center" vertical="top"/>
    </xf>
    <xf numFmtId="41" fontId="3" fillId="0" borderId="0" xfId="11" applyNumberFormat="1" applyFont="1" applyFill="1" applyAlignment="1" applyProtection="1">
      <alignment vertical="top"/>
      <protection locked="0"/>
    </xf>
    <xf numFmtId="1" fontId="3" fillId="0" borderId="0" xfId="11" applyNumberFormat="1" applyFont="1" applyFill="1" applyBorder="1" applyAlignment="1" applyProtection="1">
      <alignment vertical="top"/>
      <protection locked="0"/>
    </xf>
    <xf numFmtId="14" fontId="3" fillId="0" borderId="0" xfId="11" applyNumberFormat="1" applyFont="1" applyFill="1" applyBorder="1" applyAlignment="1" applyProtection="1">
      <alignment vertical="top"/>
      <protection locked="0"/>
    </xf>
    <xf numFmtId="39" fontId="4" fillId="0" borderId="0" xfId="0" applyNumberFormat="1" applyFont="1" applyAlignment="1" applyProtection="1">
      <alignment vertical="top"/>
    </xf>
    <xf numFmtId="4" fontId="104" fillId="0" borderId="0" xfId="0" applyNumberFormat="1" applyFont="1" applyFill="1" applyProtection="1"/>
    <xf numFmtId="0" fontId="98" fillId="0" borderId="0" xfId="0" applyNumberFormat="1" applyFont="1" applyFill="1" applyBorder="1" applyAlignment="1" applyProtection="1">
      <alignment horizontal="center"/>
    </xf>
    <xf numFmtId="182" fontId="98" fillId="0" borderId="1" xfId="0" applyNumberFormat="1" applyFont="1" applyFill="1" applyBorder="1" applyAlignment="1" applyProtection="1">
      <alignment horizontal="center"/>
    </xf>
    <xf numFmtId="0" fontId="3" fillId="0" borderId="10" xfId="0" applyFont="1" applyBorder="1" applyAlignment="1" applyProtection="1">
      <alignment horizontal="center"/>
    </xf>
    <xf numFmtId="41" fontId="18" fillId="0" borderId="0" xfId="11" applyNumberFormat="1" applyFont="1" applyFill="1" applyBorder="1" applyAlignment="1" applyProtection="1">
      <alignment horizontal="center" vertical="top"/>
    </xf>
    <xf numFmtId="41" fontId="3" fillId="0" borderId="0" xfId="11" applyNumberFormat="1" applyFont="1" applyFill="1" applyBorder="1" applyAlignment="1" applyProtection="1">
      <alignment vertical="top"/>
      <protection locked="0"/>
    </xf>
    <xf numFmtId="41" fontId="102" fillId="0" borderId="0" xfId="11" applyNumberFormat="1" applyFont="1" applyFill="1" applyBorder="1" applyAlignment="1" applyProtection="1">
      <alignment vertical="top"/>
      <protection locked="0"/>
    </xf>
    <xf numFmtId="41" fontId="102" fillId="0" borderId="0" xfId="11" applyNumberFormat="1" applyFont="1" applyFill="1" applyAlignment="1" applyProtection="1">
      <alignment vertical="top"/>
      <protection locked="0"/>
    </xf>
    <xf numFmtId="14" fontId="78" fillId="7" borderId="0" xfId="15" applyNumberFormat="1" applyFont="1" applyFill="1" applyBorder="1" applyAlignment="1" applyProtection="1">
      <alignment horizontal="right" wrapText="1"/>
      <protection locked="0"/>
    </xf>
    <xf numFmtId="14" fontId="3" fillId="7" borderId="0" xfId="15" applyNumberFormat="1" applyFont="1" applyFill="1" applyBorder="1" applyAlignment="1" applyProtection="1">
      <alignment horizontal="right" wrapText="1"/>
      <protection locked="0"/>
    </xf>
    <xf numFmtId="171" fontId="3" fillId="7" borderId="0" xfId="0" applyNumberFormat="1" applyFont="1" applyFill="1" applyAlignment="1" applyProtection="1">
      <alignment horizontal="right"/>
      <protection locked="0"/>
    </xf>
    <xf numFmtId="14" fontId="3" fillId="7" borderId="0" xfId="0" applyNumberFormat="1" applyFont="1" applyFill="1" applyProtection="1">
      <protection locked="0"/>
    </xf>
    <xf numFmtId="41" fontId="105" fillId="7" borderId="0" xfId="11" applyNumberFormat="1" applyFont="1" applyFill="1" applyAlignment="1" applyProtection="1">
      <alignment horizontal="right" vertical="top"/>
      <protection locked="0"/>
    </xf>
    <xf numFmtId="41" fontId="102" fillId="7" borderId="0" xfId="11" applyNumberFormat="1" applyFont="1" applyFill="1" applyAlignment="1" applyProtection="1">
      <alignment horizontal="right" vertical="top"/>
      <protection locked="0"/>
    </xf>
    <xf numFmtId="43" fontId="102" fillId="7" borderId="0" xfId="11" applyNumberFormat="1" applyFont="1" applyFill="1" applyAlignment="1" applyProtection="1">
      <alignment horizontal="right" vertical="top"/>
      <protection locked="0"/>
    </xf>
    <xf numFmtId="14" fontId="78" fillId="7" borderId="0" xfId="16" applyNumberFormat="1" applyFont="1" applyFill="1" applyBorder="1" applyAlignment="1" applyProtection="1">
      <alignment horizontal="right" wrapText="1"/>
      <protection locked="0"/>
    </xf>
    <xf numFmtId="14" fontId="3" fillId="7" borderId="0" xfId="16" applyNumberFormat="1" applyFont="1" applyFill="1" applyBorder="1" applyAlignment="1" applyProtection="1">
      <alignment horizontal="right" wrapText="1"/>
      <protection locked="0"/>
    </xf>
    <xf numFmtId="187" fontId="3" fillId="7" borderId="0" xfId="11" applyNumberFormat="1" applyFont="1" applyFill="1" applyAlignment="1" applyProtection="1">
      <alignment horizontal="right" vertical="top"/>
      <protection locked="0"/>
    </xf>
    <xf numFmtId="0" fontId="3" fillId="2" borderId="0" xfId="11" applyFont="1" applyFill="1" applyBorder="1" applyAlignment="1" applyProtection="1">
      <alignment horizontal="right" vertical="top"/>
    </xf>
    <xf numFmtId="0" fontId="3" fillId="2" borderId="0" xfId="11" applyFont="1" applyFill="1" applyAlignment="1" applyProtection="1">
      <alignment vertical="top" wrapText="1"/>
    </xf>
    <xf numFmtId="0" fontId="3" fillId="6" borderId="0" xfId="11" applyFont="1" applyFill="1" applyBorder="1" applyAlignment="1" applyProtection="1">
      <alignment horizontal="left" vertical="top"/>
      <protection locked="0"/>
    </xf>
    <xf numFmtId="14" fontId="3" fillId="0" borderId="23" xfId="11" applyNumberFormat="1" applyFont="1" applyFill="1" applyBorder="1" applyAlignment="1" applyProtection="1">
      <alignment vertical="top"/>
      <protection locked="0"/>
    </xf>
    <xf numFmtId="41" fontId="3" fillId="0" borderId="23" xfId="11" applyNumberFormat="1" applyFont="1" applyFill="1" applyBorder="1" applyAlignment="1" applyProtection="1">
      <alignment horizontal="right" vertical="top"/>
      <protection locked="0"/>
    </xf>
    <xf numFmtId="0" fontId="4" fillId="5" borderId="0" xfId="0" applyFont="1" applyFill="1" applyBorder="1" applyProtection="1">
      <protection locked="0"/>
    </xf>
    <xf numFmtId="3" fontId="5" fillId="4" borderId="0" xfId="1" applyNumberFormat="1" applyFont="1" applyFill="1" applyProtection="1">
      <protection locked="0"/>
    </xf>
    <xf numFmtId="3" fontId="5" fillId="4" borderId="0" xfId="0" applyNumberFormat="1" applyFont="1" applyFill="1" applyBorder="1" applyAlignment="1" applyProtection="1">
      <alignment horizontal="right"/>
      <protection locked="0"/>
    </xf>
    <xf numFmtId="37" fontId="106" fillId="0" borderId="0" xfId="0" applyNumberFormat="1" applyFont="1" applyFill="1" applyProtection="1"/>
    <xf numFmtId="37" fontId="44" fillId="0" borderId="0" xfId="5" applyNumberFormat="1" applyFont="1" applyFill="1" applyAlignment="1" applyProtection="1">
      <alignment horizontal="right"/>
      <protection locked="0"/>
    </xf>
    <xf numFmtId="37" fontId="44" fillId="0" borderId="0" xfId="5" applyNumberFormat="1" applyFont="1" applyFill="1" applyProtection="1">
      <protection locked="0"/>
    </xf>
    <xf numFmtId="37" fontId="69" fillId="0" borderId="0" xfId="0" applyNumberFormat="1" applyFont="1" applyFill="1" applyProtection="1"/>
    <xf numFmtId="14" fontId="4" fillId="5" borderId="0" xfId="0" applyNumberFormat="1" applyFont="1" applyFill="1" applyAlignment="1" applyProtection="1">
      <alignment horizontal="center"/>
      <protection locked="0"/>
    </xf>
    <xf numFmtId="37" fontId="4" fillId="5" borderId="0" xfId="0" applyNumberFormat="1" applyFont="1" applyFill="1" applyAlignment="1" applyProtection="1">
      <alignment horizontal="center"/>
      <protection locked="0"/>
    </xf>
    <xf numFmtId="0" fontId="72" fillId="0" borderId="0" xfId="0" applyFont="1" applyFill="1"/>
    <xf numFmtId="0" fontId="4" fillId="0" borderId="0" xfId="0" applyFont="1" applyFill="1" applyAlignment="1" applyProtection="1">
      <alignment horizontal="center"/>
      <protection locked="0"/>
    </xf>
    <xf numFmtId="1" fontId="3" fillId="8" borderId="0" xfId="11" applyNumberFormat="1" applyFont="1" applyFill="1" applyBorder="1" applyAlignment="1" applyProtection="1">
      <alignment horizontal="right" vertical="top"/>
      <protection locked="0"/>
    </xf>
    <xf numFmtId="1" fontId="3" fillId="8" borderId="0" xfId="11" applyNumberFormat="1" applyFont="1" applyFill="1" applyBorder="1" applyAlignment="1" applyProtection="1">
      <alignment vertical="top"/>
      <protection locked="0"/>
    </xf>
    <xf numFmtId="41" fontId="3" fillId="8" borderId="0" xfId="11" applyNumberFormat="1" applyFont="1" applyFill="1" applyBorder="1" applyAlignment="1" applyProtection="1">
      <alignment horizontal="right" vertical="top"/>
      <protection locked="0"/>
    </xf>
    <xf numFmtId="166" fontId="3" fillId="8" borderId="0" xfId="11" applyNumberFormat="1" applyFont="1" applyFill="1" applyBorder="1" applyAlignment="1" applyProtection="1">
      <alignment vertical="top"/>
      <protection locked="0"/>
    </xf>
    <xf numFmtId="14" fontId="3" fillId="8" borderId="0" xfId="11" applyNumberFormat="1" applyFont="1" applyFill="1" applyBorder="1" applyAlignment="1" applyProtection="1">
      <alignment horizontal="right" vertical="top"/>
      <protection locked="0"/>
    </xf>
    <xf numFmtId="41" fontId="3" fillId="8" borderId="0" xfId="11" applyNumberFormat="1" applyFont="1" applyFill="1" applyBorder="1" applyProtection="1">
      <protection locked="0"/>
    </xf>
    <xf numFmtId="170" fontId="5" fillId="4" borderId="0" xfId="5" applyNumberFormat="1" applyFont="1" applyFill="1" applyBorder="1" applyAlignment="1" applyProtection="1">
      <protection locked="0"/>
    </xf>
    <xf numFmtId="166" fontId="5" fillId="4" borderId="0" xfId="1" applyNumberFormat="1" applyFont="1" applyFill="1" applyBorder="1" applyAlignment="1" applyProtection="1">
      <protection locked="0"/>
    </xf>
    <xf numFmtId="166" fontId="5" fillId="4" borderId="0" xfId="1" applyNumberFormat="1" applyFont="1" applyFill="1" applyAlignment="1" applyProtection="1">
      <alignment horizontal="right"/>
      <protection locked="0"/>
    </xf>
    <xf numFmtId="43" fontId="5" fillId="4" borderId="0" xfId="1" applyFont="1" applyFill="1" applyBorder="1" applyAlignment="1" applyProtection="1">
      <protection locked="0"/>
    </xf>
    <xf numFmtId="43" fontId="5" fillId="4" borderId="1" xfId="1" applyFont="1" applyFill="1" applyBorder="1" applyAlignment="1" applyProtection="1">
      <protection locked="0"/>
    </xf>
    <xf numFmtId="43" fontId="5" fillId="0" borderId="0" xfId="1" applyFont="1" applyFill="1" applyBorder="1" applyAlignment="1" applyProtection="1">
      <protection locked="0"/>
    </xf>
    <xf numFmtId="0" fontId="102" fillId="0" borderId="0" xfId="11" applyFont="1" applyFill="1"/>
    <xf numFmtId="0" fontId="3" fillId="0" borderId="23" xfId="11" applyFont="1" applyFill="1" applyBorder="1" applyAlignment="1" applyProtection="1">
      <alignment horizontal="center" vertical="top"/>
      <protection locked="0"/>
    </xf>
    <xf numFmtId="166" fontId="3" fillId="7" borderId="23" xfId="11" applyNumberFormat="1" applyFont="1" applyFill="1" applyBorder="1" applyAlignment="1" applyProtection="1">
      <alignment horizontal="right" vertical="top"/>
      <protection locked="0"/>
    </xf>
    <xf numFmtId="166" fontId="3" fillId="7" borderId="0" xfId="11" applyNumberFormat="1" applyFont="1" applyFill="1" applyBorder="1" applyAlignment="1" applyProtection="1">
      <alignment horizontal="right" vertical="top"/>
      <protection locked="0"/>
    </xf>
    <xf numFmtId="10" fontId="77" fillId="4" borderId="0" xfId="0" applyNumberFormat="1" applyFont="1" applyFill="1" applyBorder="1" applyAlignment="1" applyProtection="1">
      <alignment horizontal="center" vertical="top"/>
      <protection locked="0"/>
    </xf>
    <xf numFmtId="10" fontId="77" fillId="4" borderId="0" xfId="0" applyNumberFormat="1" applyFont="1" applyFill="1" applyAlignment="1" applyProtection="1">
      <alignment horizontal="center" vertical="top"/>
      <protection locked="0"/>
    </xf>
    <xf numFmtId="10" fontId="4" fillId="5" borderId="0" xfId="0" applyNumberFormat="1" applyFont="1" applyFill="1" applyBorder="1" applyProtection="1">
      <protection locked="0"/>
    </xf>
    <xf numFmtId="39" fontId="4" fillId="5" borderId="0" xfId="0" applyNumberFormat="1" applyFont="1" applyFill="1" applyBorder="1" applyProtection="1">
      <protection locked="0"/>
    </xf>
    <xf numFmtId="39" fontId="4" fillId="5" borderId="0" xfId="0" applyNumberFormat="1" applyFont="1" applyFill="1" applyProtection="1">
      <protection locked="0"/>
    </xf>
    <xf numFmtId="10" fontId="4" fillId="5" borderId="0" xfId="0" applyNumberFormat="1" applyFont="1" applyFill="1" applyProtection="1">
      <protection locked="0"/>
    </xf>
    <xf numFmtId="39" fontId="4" fillId="5" borderId="0" xfId="0" applyNumberFormat="1" applyFont="1" applyFill="1" applyAlignment="1" applyProtection="1">
      <alignment horizontal="right"/>
      <protection locked="0"/>
    </xf>
    <xf numFmtId="0" fontId="4" fillId="5" borderId="0" xfId="0" applyFont="1" applyFill="1" applyAlignment="1" applyProtection="1">
      <alignment vertical="top" wrapText="1"/>
      <protection locked="0"/>
    </xf>
    <xf numFmtId="39" fontId="4" fillId="5" borderId="0" xfId="0" applyNumberFormat="1" applyFont="1" applyFill="1" applyAlignment="1" applyProtection="1">
      <alignment vertical="top"/>
      <protection locked="0"/>
    </xf>
    <xf numFmtId="10" fontId="4" fillId="5" borderId="0" xfId="0" applyNumberFormat="1" applyFont="1" applyFill="1" applyAlignment="1" applyProtection="1">
      <alignment vertical="top"/>
      <protection locked="0"/>
    </xf>
    <xf numFmtId="0" fontId="4" fillId="5" borderId="0" xfId="0" applyFont="1" applyFill="1" applyAlignment="1" applyProtection="1">
      <alignment wrapText="1"/>
      <protection locked="0"/>
    </xf>
    <xf numFmtId="0" fontId="4" fillId="4" borderId="0" xfId="0" applyFont="1" applyFill="1" applyAlignment="1" applyProtection="1">
      <alignment vertical="top" wrapText="1"/>
      <protection locked="0"/>
    </xf>
    <xf numFmtId="0" fontId="4" fillId="5" borderId="0" xfId="0" applyFont="1" applyFill="1" applyAlignment="1" applyProtection="1">
      <alignment vertical="top"/>
      <protection locked="0"/>
    </xf>
    <xf numFmtId="40" fontId="4" fillId="5" borderId="0" xfId="0" applyNumberFormat="1" applyFont="1" applyFill="1" applyAlignment="1" applyProtection="1">
      <alignment horizontal="left"/>
      <protection locked="0"/>
    </xf>
    <xf numFmtId="40" fontId="4" fillId="5" borderId="0" xfId="0" applyNumberFormat="1" applyFont="1" applyFill="1" applyAlignment="1" applyProtection="1">
      <alignment wrapText="1"/>
      <protection locked="0"/>
    </xf>
    <xf numFmtId="41" fontId="3" fillId="4" borderId="0" xfId="2" applyNumberFormat="1" applyFont="1" applyFill="1" applyBorder="1" applyProtection="1">
      <protection locked="0"/>
    </xf>
    <xf numFmtId="10" fontId="95" fillId="4" borderId="0" xfId="0" applyNumberFormat="1" applyFont="1" applyFill="1" applyBorder="1" applyAlignment="1" applyProtection="1">
      <alignment horizontal="center" vertical="top"/>
      <protection locked="0"/>
    </xf>
    <xf numFmtId="41" fontId="3" fillId="4" borderId="0" xfId="9" applyNumberFormat="1" applyFont="1" applyFill="1" applyProtection="1">
      <protection locked="0"/>
    </xf>
    <xf numFmtId="0" fontId="3" fillId="0" borderId="24" xfId="11" applyFont="1" applyFill="1" applyBorder="1" applyAlignment="1" applyProtection="1">
      <alignment horizontal="right" vertical="top"/>
    </xf>
    <xf numFmtId="41" fontId="18" fillId="0" borderId="24" xfId="11" applyNumberFormat="1" applyFont="1" applyFill="1" applyBorder="1" applyAlignment="1" applyProtection="1">
      <alignment horizontal="center" vertical="top"/>
    </xf>
    <xf numFmtId="0" fontId="3" fillId="0" borderId="24" xfId="11" applyFont="1" applyFill="1" applyBorder="1" applyAlignment="1" applyProtection="1">
      <alignment vertical="top" wrapText="1"/>
    </xf>
    <xf numFmtId="0" fontId="3" fillId="0" borderId="25" xfId="11" applyFont="1" applyFill="1" applyBorder="1" applyAlignment="1" applyProtection="1">
      <alignment horizontal="center" vertical="top"/>
      <protection locked="0"/>
    </xf>
    <xf numFmtId="0" fontId="3" fillId="4" borderId="25" xfId="11" applyFont="1" applyFill="1" applyBorder="1" applyAlignment="1" applyProtection="1">
      <alignment horizontal="right" vertical="top"/>
      <protection locked="0"/>
    </xf>
    <xf numFmtId="0" fontId="3" fillId="4" borderId="25" xfId="11" applyFont="1" applyFill="1" applyBorder="1" applyAlignment="1" applyProtection="1">
      <alignment horizontal="left" vertical="top"/>
      <protection locked="0"/>
    </xf>
    <xf numFmtId="41" fontId="3" fillId="4" borderId="25" xfId="11" applyNumberFormat="1" applyFont="1" applyFill="1" applyBorder="1" applyAlignment="1" applyProtection="1">
      <alignment horizontal="right" vertical="top"/>
      <protection locked="0"/>
    </xf>
    <xf numFmtId="41" fontId="3" fillId="4" borderId="25" xfId="11" applyNumberFormat="1" applyFont="1" applyFill="1" applyBorder="1" applyAlignment="1" applyProtection="1">
      <alignment horizontal="center" vertical="top"/>
      <protection locked="0"/>
    </xf>
    <xf numFmtId="41" fontId="3" fillId="4" borderId="25" xfId="11" applyNumberFormat="1" applyFont="1" applyFill="1" applyBorder="1" applyAlignment="1" applyProtection="1">
      <alignment vertical="top"/>
      <protection locked="0"/>
    </xf>
    <xf numFmtId="41" fontId="3" fillId="4" borderId="25" xfId="11" applyNumberFormat="1" applyFont="1" applyFill="1" applyBorder="1" applyAlignment="1" applyProtection="1">
      <alignment horizontal="left" vertical="top" wrapText="1"/>
      <protection locked="0"/>
    </xf>
    <xf numFmtId="0" fontId="18" fillId="0" borderId="0" xfId="11" applyFont="1" applyAlignment="1" applyProtection="1">
      <alignment horizontal="left" vertical="top"/>
    </xf>
    <xf numFmtId="0" fontId="3" fillId="0" borderId="0" xfId="12" applyFont="1" applyFill="1"/>
    <xf numFmtId="166" fontId="3" fillId="0" borderId="0" xfId="1" applyNumberFormat="1" applyFont="1" applyFill="1" applyBorder="1"/>
    <xf numFmtId="166" fontId="3" fillId="0" borderId="0" xfId="12" applyNumberFormat="1" applyFont="1" applyFill="1"/>
    <xf numFmtId="166" fontId="3" fillId="0" borderId="0" xfId="12" applyNumberFormat="1" applyFont="1" applyFill="1" applyAlignment="1">
      <alignment vertical="top"/>
    </xf>
    <xf numFmtId="0" fontId="3" fillId="0" borderId="0" xfId="12" applyFont="1" applyFill="1" applyAlignment="1">
      <alignment horizontal="center"/>
    </xf>
    <xf numFmtId="0" fontId="3" fillId="0" borderId="0" xfId="11" applyFont="1" applyFill="1" applyAlignment="1" applyProtection="1">
      <alignment horizontal="left" vertical="top"/>
      <protection locked="0"/>
    </xf>
    <xf numFmtId="0" fontId="3" fillId="0" borderId="0" xfId="11" applyFont="1" applyFill="1" applyAlignment="1" applyProtection="1">
      <protection locked="0"/>
    </xf>
    <xf numFmtId="166" fontId="3" fillId="0" borderId="0" xfId="11" applyNumberFormat="1" applyFont="1" applyFill="1" applyAlignment="1" applyProtection="1">
      <protection locked="0"/>
    </xf>
    <xf numFmtId="41" fontId="3" fillId="0" borderId="0" xfId="11" applyNumberFormat="1" applyFont="1" applyFill="1" applyAlignment="1" applyProtection="1">
      <protection locked="0"/>
    </xf>
    <xf numFmtId="166" fontId="3" fillId="0" borderId="0" xfId="1" applyNumberFormat="1" applyFont="1" applyFill="1" applyAlignment="1" applyProtection="1">
      <protection locked="0"/>
    </xf>
    <xf numFmtId="0" fontId="20" fillId="0" borderId="0" xfId="0" applyFont="1" applyAlignment="1">
      <alignment vertical="top"/>
    </xf>
    <xf numFmtId="0" fontId="5" fillId="0" borderId="0" xfId="0" applyFont="1" applyAlignment="1" applyProtection="1">
      <alignment horizontal="left"/>
    </xf>
    <xf numFmtId="0" fontId="3" fillId="4" borderId="0" xfId="11" applyFont="1" applyFill="1" applyAlignment="1" applyProtection="1">
      <alignment horizontal="left" vertical="top"/>
    </xf>
    <xf numFmtId="3" fontId="44" fillId="0" borderId="0" xfId="0" applyNumberFormat="1" applyFont="1" applyAlignment="1" applyProtection="1">
      <alignment horizontal="right"/>
    </xf>
    <xf numFmtId="5" fontId="44" fillId="0" borderId="6" xfId="0" applyNumberFormat="1" applyFont="1" applyFill="1" applyBorder="1" applyAlignment="1">
      <alignment horizontal="center"/>
    </xf>
    <xf numFmtId="39" fontId="4" fillId="0" borderId="6" xfId="0" applyNumberFormat="1" applyFont="1" applyFill="1" applyBorder="1" applyProtection="1"/>
    <xf numFmtId="0" fontId="4" fillId="5" borderId="0" xfId="0" applyFont="1" applyFill="1" applyAlignment="1" applyProtection="1">
      <alignment horizontal="left"/>
      <protection locked="0"/>
    </xf>
    <xf numFmtId="40" fontId="4" fillId="5" borderId="0" xfId="0" applyNumberFormat="1" applyFont="1" applyFill="1" applyAlignment="1" applyProtection="1">
      <protection locked="0"/>
    </xf>
    <xf numFmtId="39" fontId="4" fillId="0" borderId="6" xfId="0" applyNumberFormat="1" applyFont="1" applyBorder="1"/>
    <xf numFmtId="39" fontId="4" fillId="0" borderId="6" xfId="0" applyNumberFormat="1" applyFont="1" applyFill="1" applyBorder="1"/>
    <xf numFmtId="170" fontId="76" fillId="0" borderId="0" xfId="0" applyNumberFormat="1" applyFont="1" applyFill="1" applyBorder="1" applyProtection="1"/>
    <xf numFmtId="172" fontId="76" fillId="0" borderId="16" xfId="0" applyNumberFormat="1" applyFont="1" applyFill="1" applyBorder="1" applyProtection="1"/>
    <xf numFmtId="14" fontId="3" fillId="4" borderId="0" xfId="0" applyNumberFormat="1" applyFont="1" applyFill="1" applyBorder="1" applyAlignment="1">
      <alignment horizontal="center"/>
    </xf>
    <xf numFmtId="0" fontId="3" fillId="0" borderId="0" xfId="12" applyFont="1" applyFill="1" applyAlignment="1">
      <alignment wrapText="1"/>
    </xf>
    <xf numFmtId="0" fontId="3" fillId="0" borderId="24" xfId="11" applyFont="1" applyFill="1" applyBorder="1" applyAlignment="1" applyProtection="1">
      <alignment vertical="top"/>
    </xf>
    <xf numFmtId="0" fontId="3" fillId="0" borderId="24" xfId="11" applyFont="1" applyFill="1" applyBorder="1" applyAlignment="1" applyProtection="1">
      <alignment horizontal="center" vertical="top"/>
      <protection locked="0"/>
    </xf>
    <xf numFmtId="0" fontId="3" fillId="0" borderId="24" xfId="11" applyFont="1" applyFill="1" applyBorder="1" applyAlignment="1" applyProtection="1">
      <alignment horizontal="left" vertical="top"/>
      <protection locked="0"/>
    </xf>
    <xf numFmtId="0" fontId="3" fillId="0" borderId="24" xfId="11" applyFont="1" applyFill="1" applyBorder="1" applyAlignment="1" applyProtection="1">
      <alignment vertical="top" wrapText="1"/>
      <protection locked="0"/>
    </xf>
    <xf numFmtId="166" fontId="18" fillId="0" borderId="0" xfId="1" applyNumberFormat="1" applyFont="1" applyFill="1"/>
    <xf numFmtId="0" fontId="3" fillId="2" borderId="0" xfId="11" applyFont="1" applyFill="1" applyBorder="1" applyAlignment="1" applyProtection="1">
      <alignment vertical="top"/>
    </xf>
    <xf numFmtId="39" fontId="3" fillId="2" borderId="0" xfId="11" applyNumberFormat="1" applyFont="1" applyFill="1" applyAlignment="1" applyProtection="1">
      <alignment vertical="top"/>
    </xf>
    <xf numFmtId="166" fontId="3" fillId="0" borderId="0" xfId="11" applyNumberFormat="1" applyFont="1" applyFill="1" applyBorder="1" applyAlignment="1" applyProtection="1">
      <alignment vertical="top"/>
      <protection locked="0"/>
    </xf>
    <xf numFmtId="43" fontId="3" fillId="6" borderId="0" xfId="1" applyFont="1" applyFill="1" applyBorder="1" applyAlignment="1" applyProtection="1">
      <alignment vertical="top"/>
      <protection locked="0"/>
    </xf>
    <xf numFmtId="43" fontId="4" fillId="4" borderId="1" xfId="1" applyFont="1" applyFill="1" applyBorder="1" applyAlignment="1" applyProtection="1">
      <protection locked="0"/>
    </xf>
    <xf numFmtId="0" fontId="3" fillId="0" borderId="25" xfId="11" applyFont="1" applyFill="1" applyBorder="1" applyAlignment="1" applyProtection="1">
      <alignment horizontal="left" vertical="top"/>
      <protection locked="0"/>
    </xf>
    <xf numFmtId="0" fontId="3" fillId="0" borderId="25" xfId="11" applyFont="1" applyFill="1" applyBorder="1" applyAlignment="1" applyProtection="1">
      <alignment vertical="top" wrapText="1"/>
      <protection locked="0"/>
    </xf>
    <xf numFmtId="41" fontId="3" fillId="9" borderId="0" xfId="11" applyNumberFormat="1" applyFont="1" applyFill="1" applyBorder="1" applyAlignment="1" applyProtection="1">
      <alignment horizontal="right" vertical="top"/>
      <protection locked="0"/>
    </xf>
    <xf numFmtId="14" fontId="3" fillId="9" borderId="0" xfId="11" applyNumberFormat="1" applyFont="1" applyFill="1" applyBorder="1" applyAlignment="1" applyProtection="1">
      <alignment horizontal="right" vertical="top"/>
      <protection locked="0"/>
    </xf>
    <xf numFmtId="166" fontId="3" fillId="0" borderId="0" xfId="1" applyNumberFormat="1" applyFont="1" applyFill="1" applyBorder="1" applyAlignment="1" applyProtection="1">
      <alignment horizontal="right" vertical="top"/>
      <protection locked="0"/>
    </xf>
    <xf numFmtId="41" fontId="3" fillId="0" borderId="0" xfId="1" applyNumberFormat="1" applyFont="1" applyFill="1" applyBorder="1" applyAlignment="1" applyProtection="1">
      <alignment horizontal="center" vertical="top"/>
      <protection locked="0"/>
    </xf>
    <xf numFmtId="0" fontId="3" fillId="0" borderId="0" xfId="11" applyFont="1" applyFill="1" applyBorder="1" applyAlignment="1" applyProtection="1">
      <alignment horizontal="right" vertical="top"/>
      <protection locked="0"/>
    </xf>
    <xf numFmtId="14" fontId="3" fillId="9" borderId="0" xfId="11" applyNumberFormat="1" applyFont="1" applyFill="1" applyAlignment="1" applyProtection="1">
      <alignment horizontal="right" vertical="top"/>
      <protection locked="0"/>
    </xf>
    <xf numFmtId="14" fontId="3" fillId="9" borderId="0" xfId="16" applyNumberFormat="1" applyFont="1" applyFill="1" applyBorder="1" applyAlignment="1" applyProtection="1">
      <alignment horizontal="right" wrapText="1"/>
      <protection locked="0"/>
    </xf>
    <xf numFmtId="41" fontId="3" fillId="9" borderId="0" xfId="11" applyNumberFormat="1" applyFont="1" applyFill="1" applyAlignment="1" applyProtection="1">
      <alignment horizontal="right" vertical="top"/>
      <protection locked="0"/>
    </xf>
    <xf numFmtId="171" fontId="3" fillId="9" borderId="0" xfId="16" applyNumberFormat="1" applyFont="1" applyFill="1" applyBorder="1" applyAlignment="1" applyProtection="1">
      <alignment horizontal="right" wrapText="1"/>
      <protection locked="0"/>
    </xf>
    <xf numFmtId="41" fontId="3" fillId="9" borderId="0" xfId="11" applyNumberFormat="1" applyFont="1" applyFill="1" applyAlignment="1" applyProtection="1">
      <alignment horizontal="left" vertical="top"/>
      <protection locked="0"/>
    </xf>
    <xf numFmtId="14" fontId="3" fillId="9" borderId="0" xfId="0" applyNumberFormat="1" applyFont="1" applyFill="1" applyProtection="1">
      <protection locked="0"/>
    </xf>
    <xf numFmtId="14" fontId="3" fillId="9" borderId="0" xfId="0" applyNumberFormat="1" applyFont="1" applyFill="1" applyAlignment="1" applyProtection="1">
      <alignment horizontal="right"/>
      <protection locked="0"/>
    </xf>
    <xf numFmtId="171" fontId="3" fillId="9" borderId="0" xfId="0" applyNumberFormat="1" applyFont="1" applyFill="1" applyAlignment="1" applyProtection="1">
      <alignment horizontal="right"/>
      <protection locked="0"/>
    </xf>
    <xf numFmtId="14" fontId="3" fillId="9" borderId="23" xfId="11" applyNumberFormat="1" applyFont="1" applyFill="1" applyBorder="1" applyAlignment="1" applyProtection="1">
      <alignment horizontal="right" vertical="top"/>
      <protection locked="0"/>
    </xf>
    <xf numFmtId="166" fontId="77" fillId="0" borderId="0" xfId="1" applyNumberFormat="1" applyFont="1" applyFill="1" applyBorder="1" applyAlignment="1" applyProtection="1">
      <alignment horizontal="center" vertical="top"/>
      <protection locked="0"/>
    </xf>
    <xf numFmtId="170" fontId="4" fillId="10" borderId="0" xfId="5" applyNumberFormat="1" applyFont="1" applyFill="1" applyBorder="1" applyAlignment="1" applyProtection="1">
      <protection locked="0"/>
    </xf>
    <xf numFmtId="0" fontId="109" fillId="0" borderId="0" xfId="0" applyNumberFormat="1" applyFont="1" applyFill="1" applyProtection="1">
      <protection locked="0"/>
    </xf>
    <xf numFmtId="0" fontId="21" fillId="0" borderId="0" xfId="0" quotePrefix="1" applyFont="1" applyFill="1"/>
    <xf numFmtId="0" fontId="4" fillId="0" borderId="0" xfId="0" applyNumberFormat="1" applyFont="1" applyFill="1"/>
    <xf numFmtId="166" fontId="7" fillId="0" borderId="0" xfId="11" applyNumberFormat="1" applyFont="1" applyFill="1" applyBorder="1" applyAlignment="1" applyProtection="1">
      <alignment horizontal="left" vertical="top"/>
    </xf>
    <xf numFmtId="43" fontId="7" fillId="0" borderId="0" xfId="1" applyFont="1" applyFill="1" applyAlignment="1" applyProtection="1">
      <alignment vertical="top"/>
    </xf>
    <xf numFmtId="37" fontId="7" fillId="0" borderId="0" xfId="1" applyNumberFormat="1" applyFont="1" applyFill="1" applyAlignment="1" applyProtection="1">
      <alignment vertical="top"/>
    </xf>
    <xf numFmtId="0" fontId="3" fillId="10" borderId="0" xfId="11" applyFont="1" applyFill="1" applyAlignment="1" applyProtection="1">
      <alignment horizontal="right" vertical="top"/>
      <protection locked="0"/>
    </xf>
    <xf numFmtId="0" fontId="3" fillId="10" borderId="0" xfId="11" applyFont="1" applyFill="1" applyAlignment="1" applyProtection="1">
      <alignment horizontal="left" vertical="top"/>
      <protection locked="0"/>
    </xf>
    <xf numFmtId="41" fontId="3" fillId="10" borderId="0" xfId="11" applyNumberFormat="1" applyFont="1" applyFill="1" applyBorder="1" applyAlignment="1" applyProtection="1">
      <alignment horizontal="right" vertical="top"/>
      <protection locked="0"/>
    </xf>
    <xf numFmtId="41" fontId="3" fillId="10" borderId="0" xfId="11" applyNumberFormat="1" applyFont="1" applyFill="1" applyBorder="1" applyAlignment="1" applyProtection="1">
      <alignment horizontal="center" vertical="top"/>
      <protection locked="0"/>
    </xf>
    <xf numFmtId="41" fontId="3" fillId="10" borderId="0" xfId="11" applyNumberFormat="1" applyFont="1" applyFill="1" applyAlignment="1" applyProtection="1">
      <alignment vertical="top"/>
      <protection locked="0"/>
    </xf>
    <xf numFmtId="41" fontId="3" fillId="10" borderId="0" xfId="11" applyNumberFormat="1" applyFont="1" applyFill="1" applyAlignment="1" applyProtection="1">
      <alignment horizontal="left" vertical="top" wrapText="1"/>
      <protection locked="0"/>
    </xf>
    <xf numFmtId="0" fontId="15" fillId="10" borderId="0" xfId="11" applyFont="1" applyFill="1" applyAlignment="1" applyProtection="1">
      <alignment vertical="top"/>
      <protection locked="0"/>
    </xf>
    <xf numFmtId="166" fontId="3" fillId="10" borderId="0" xfId="11" applyNumberFormat="1" applyFont="1" applyFill="1" applyAlignment="1" applyProtection="1">
      <alignment vertical="top"/>
      <protection locked="0"/>
    </xf>
    <xf numFmtId="166" fontId="3" fillId="10" borderId="0" xfId="11" applyNumberFormat="1" applyFont="1" applyFill="1" applyProtection="1">
      <protection locked="0"/>
    </xf>
    <xf numFmtId="41" fontId="3" fillId="10" borderId="0" xfId="11" applyNumberFormat="1" applyFont="1" applyFill="1" applyProtection="1">
      <protection locked="0"/>
    </xf>
    <xf numFmtId="0" fontId="3" fillId="10" borderId="0" xfId="11" applyFont="1" applyFill="1" applyProtection="1">
      <protection locked="0"/>
    </xf>
    <xf numFmtId="0" fontId="3" fillId="10" borderId="0" xfId="11" applyFont="1" applyFill="1" applyAlignment="1" applyProtection="1">
      <alignment wrapText="1"/>
      <protection locked="0"/>
    </xf>
    <xf numFmtId="0" fontId="3" fillId="10" borderId="0" xfId="12" applyFont="1" applyFill="1" applyAlignment="1">
      <alignment vertical="top"/>
    </xf>
    <xf numFmtId="166" fontId="3" fillId="10" borderId="0" xfId="12" applyNumberFormat="1" applyFont="1" applyFill="1" applyAlignment="1">
      <alignment vertical="top"/>
    </xf>
    <xf numFmtId="0" fontId="3" fillId="10" borderId="0" xfId="12" applyFont="1" applyFill="1" applyAlignment="1">
      <alignment horizontal="center" vertical="top"/>
    </xf>
    <xf numFmtId="0" fontId="3" fillId="10" borderId="0" xfId="12" applyFont="1" applyFill="1" applyAlignment="1">
      <alignment vertical="top" wrapText="1"/>
    </xf>
    <xf numFmtId="0" fontId="3" fillId="10" borderId="0" xfId="18" applyFont="1" applyFill="1" applyAlignment="1">
      <alignment horizontal="left" vertical="top"/>
    </xf>
    <xf numFmtId="0" fontId="3" fillId="10" borderId="0" xfId="0" applyFont="1" applyFill="1" applyAlignment="1">
      <alignment vertical="top"/>
    </xf>
    <xf numFmtId="187" fontId="3" fillId="10" borderId="0" xfId="12" applyNumberFormat="1" applyFont="1" applyFill="1" applyAlignment="1">
      <alignment horizontal="center" vertical="top" wrapText="1"/>
    </xf>
    <xf numFmtId="0" fontId="3" fillId="10" borderId="0" xfId="12" applyFont="1" applyFill="1" applyAlignment="1">
      <alignment vertical="center" wrapText="1"/>
    </xf>
    <xf numFmtId="0" fontId="3" fillId="10" borderId="0" xfId="14" applyFont="1" applyFill="1" applyAlignment="1">
      <alignment horizontal="right" vertical="top"/>
    </xf>
    <xf numFmtId="0" fontId="3" fillId="10" borderId="0" xfId="14" applyFont="1" applyFill="1" applyAlignment="1">
      <alignment horizontal="left" vertical="top"/>
    </xf>
    <xf numFmtId="0" fontId="3" fillId="10" borderId="0" xfId="12" applyFont="1" applyFill="1" applyAlignment="1">
      <alignment horizontal="left"/>
    </xf>
    <xf numFmtId="0" fontId="15" fillId="10" borderId="0" xfId="12" applyFont="1" applyFill="1"/>
    <xf numFmtId="8" fontId="3" fillId="10" borderId="0" xfId="12" applyNumberFormat="1" applyFont="1" applyFill="1"/>
    <xf numFmtId="0" fontId="3" fillId="10" borderId="0" xfId="12" applyFont="1" applyFill="1"/>
    <xf numFmtId="0" fontId="3" fillId="10" borderId="0" xfId="12" applyFont="1" applyFill="1" applyAlignment="1">
      <alignment wrapText="1"/>
    </xf>
    <xf numFmtId="0" fontId="3" fillId="10" borderId="0" xfId="12" applyFont="1" applyFill="1" applyAlignment="1">
      <alignment horizontal="right" vertical="top"/>
    </xf>
    <xf numFmtId="166" fontId="3" fillId="10" borderId="0" xfId="12" applyNumberFormat="1" applyFont="1" applyFill="1" applyAlignment="1">
      <alignment horizontal="right" vertical="top"/>
    </xf>
    <xf numFmtId="41" fontId="3" fillId="10" borderId="0" xfId="11" applyNumberFormat="1" applyFont="1" applyFill="1" applyAlignment="1" applyProtection="1">
      <alignment vertical="top"/>
    </xf>
    <xf numFmtId="166" fontId="3" fillId="10" borderId="0" xfId="2" applyNumberFormat="1" applyFont="1" applyFill="1" applyAlignment="1">
      <alignment vertical="top"/>
    </xf>
    <xf numFmtId="43" fontId="3" fillId="10" borderId="0" xfId="12" applyNumberFormat="1" applyFont="1" applyFill="1" applyAlignment="1">
      <alignment vertical="top"/>
    </xf>
    <xf numFmtId="166" fontId="3" fillId="10" borderId="0" xfId="2" applyNumberFormat="1" applyFont="1" applyFill="1" applyBorder="1" applyAlignment="1">
      <alignment vertical="top"/>
    </xf>
    <xf numFmtId="41" fontId="3" fillId="10" borderId="0" xfId="25" applyFont="1" applyFill="1" applyAlignment="1">
      <alignment vertical="center"/>
    </xf>
    <xf numFmtId="166" fontId="3" fillId="10" borderId="0" xfId="2" applyNumberFormat="1" applyFont="1" applyFill="1" applyAlignment="1">
      <alignment vertical="center"/>
    </xf>
    <xf numFmtId="0" fontId="3" fillId="10" borderId="0" xfId="18" applyFont="1" applyFill="1" applyAlignment="1">
      <alignment vertical="top"/>
    </xf>
    <xf numFmtId="0" fontId="3" fillId="10" borderId="0" xfId="0" applyFont="1" applyFill="1" applyAlignment="1">
      <alignment wrapText="1"/>
    </xf>
    <xf numFmtId="0" fontId="3" fillId="10" borderId="0" xfId="0" applyFont="1" applyFill="1" applyAlignment="1">
      <alignment vertical="top" wrapText="1"/>
    </xf>
    <xf numFmtId="0" fontId="3" fillId="10" borderId="0" xfId="14" applyFont="1" applyFill="1" applyAlignment="1">
      <alignment vertical="top"/>
    </xf>
    <xf numFmtId="166" fontId="3" fillId="10" borderId="0" xfId="12" applyNumberFormat="1" applyFont="1" applyFill="1"/>
    <xf numFmtId="166" fontId="3" fillId="10" borderId="0" xfId="1" applyNumberFormat="1" applyFont="1" applyFill="1" applyBorder="1" applyAlignment="1">
      <alignment vertical="top"/>
    </xf>
    <xf numFmtId="0" fontId="15" fillId="10" borderId="0" xfId="12" applyFont="1" applyFill="1" applyAlignment="1">
      <alignment horizontal="left"/>
    </xf>
    <xf numFmtId="0" fontId="15" fillId="10" borderId="0" xfId="12" applyFont="1" applyFill="1" applyAlignment="1">
      <alignment wrapText="1"/>
    </xf>
    <xf numFmtId="166" fontId="3" fillId="10" borderId="0" xfId="1" applyNumberFormat="1" applyFont="1" applyFill="1" applyBorder="1"/>
    <xf numFmtId="166" fontId="3" fillId="10" borderId="0" xfId="2" applyNumberFormat="1" applyFont="1" applyFill="1" applyBorder="1"/>
    <xf numFmtId="0" fontId="3" fillId="10" borderId="0" xfId="12" applyFont="1" applyFill="1" applyAlignment="1">
      <alignment horizontal="center"/>
    </xf>
    <xf numFmtId="41" fontId="3" fillId="10" borderId="0" xfId="12" applyNumberFormat="1" applyFont="1" applyFill="1" applyAlignment="1">
      <alignment vertical="top"/>
    </xf>
    <xf numFmtId="41" fontId="3" fillId="10" borderId="0" xfId="12" applyNumberFormat="1" applyFont="1" applyFill="1" applyAlignment="1">
      <alignment horizontal="center" vertical="top"/>
    </xf>
    <xf numFmtId="41" fontId="3" fillId="10" borderId="0" xfId="12" applyNumberFormat="1" applyFont="1" applyFill="1" applyAlignment="1">
      <alignment vertical="top" wrapText="1"/>
    </xf>
    <xf numFmtId="41" fontId="3" fillId="10" borderId="0" xfId="12" applyNumberFormat="1" applyFont="1" applyFill="1" applyAlignment="1">
      <alignment horizontal="center" vertical="top" wrapText="1"/>
    </xf>
    <xf numFmtId="0" fontId="3" fillId="10" borderId="0" xfId="18" applyFont="1" applyFill="1" applyAlignment="1">
      <alignment vertical="top" wrapText="1"/>
    </xf>
    <xf numFmtId="0" fontId="3" fillId="10" borderId="0" xfId="12" applyFont="1" applyFill="1" applyAlignment="1">
      <alignment horizontal="left" vertical="top"/>
    </xf>
    <xf numFmtId="0" fontId="3" fillId="10" borderId="0" xfId="13" applyFont="1" applyFill="1" applyAlignment="1">
      <alignment vertical="top" wrapText="1"/>
    </xf>
    <xf numFmtId="0" fontId="3" fillId="10" borderId="0" xfId="13" applyFont="1" applyFill="1" applyAlignment="1">
      <alignment wrapText="1"/>
    </xf>
    <xf numFmtId="0" fontId="15" fillId="10" borderId="0" xfId="11" applyFont="1" applyFill="1" applyAlignment="1" applyProtection="1">
      <alignment horizontal="left"/>
      <protection locked="0"/>
    </xf>
    <xf numFmtId="0" fontId="15" fillId="10" borderId="0" xfId="11" applyFont="1" applyFill="1" applyProtection="1">
      <protection locked="0"/>
    </xf>
    <xf numFmtId="41" fontId="3" fillId="10" borderId="0" xfId="11" applyNumberFormat="1" applyFont="1" applyFill="1" applyBorder="1" applyProtection="1">
      <protection locked="0"/>
    </xf>
    <xf numFmtId="41" fontId="7" fillId="10" borderId="0" xfId="11" applyNumberFormat="1" applyFont="1" applyFill="1" applyBorder="1" applyProtection="1">
      <protection locked="0"/>
    </xf>
    <xf numFmtId="41" fontId="3" fillId="10" borderId="0" xfId="12" applyNumberFormat="1" applyFont="1" applyFill="1"/>
    <xf numFmtId="41" fontId="3" fillId="10" borderId="0" xfId="12" applyNumberFormat="1" applyFont="1" applyFill="1" applyAlignment="1">
      <alignment horizontal="center"/>
    </xf>
    <xf numFmtId="0" fontId="3" fillId="10" borderId="0" xfId="11" applyFont="1" applyFill="1" applyAlignment="1" applyProtection="1">
      <alignment vertical="top"/>
      <protection locked="0"/>
    </xf>
    <xf numFmtId="0" fontId="15" fillId="10" borderId="0" xfId="11" applyFont="1" applyFill="1" applyAlignment="1" applyProtection="1">
      <alignment vertical="top" wrapText="1"/>
      <protection locked="0"/>
    </xf>
    <xf numFmtId="41" fontId="3" fillId="10" borderId="0" xfId="11" applyNumberFormat="1" applyFont="1" applyFill="1" applyBorder="1" applyAlignment="1" applyProtection="1">
      <alignment vertical="top"/>
      <protection locked="0"/>
    </xf>
    <xf numFmtId="41" fontId="3" fillId="10" borderId="0" xfId="11" applyNumberFormat="1" applyFont="1" applyFill="1" applyAlignment="1" applyProtection="1">
      <alignment horizontal="center" vertical="top"/>
      <protection locked="0"/>
    </xf>
    <xf numFmtId="0" fontId="3" fillId="10" borderId="0" xfId="12" applyFont="1" applyFill="1" applyAlignment="1">
      <alignment vertical="center"/>
    </xf>
    <xf numFmtId="0" fontId="3" fillId="10" borderId="0" xfId="0" applyFont="1" applyFill="1" applyAlignment="1">
      <alignment vertical="center"/>
    </xf>
    <xf numFmtId="41" fontId="3" fillId="10" borderId="0" xfId="12" applyNumberFormat="1" applyFont="1" applyFill="1" applyAlignment="1">
      <alignment vertical="center"/>
    </xf>
    <xf numFmtId="187" fontId="3" fillId="10" borderId="0" xfId="12" applyNumberFormat="1" applyFont="1" applyFill="1" applyAlignment="1">
      <alignment horizontal="center" vertical="center"/>
    </xf>
    <xf numFmtId="0" fontId="3" fillId="10" borderId="0" xfId="0" applyFont="1" applyFill="1" applyProtection="1">
      <protection locked="0"/>
    </xf>
    <xf numFmtId="43" fontId="3" fillId="10" borderId="0" xfId="2" applyFont="1" applyFill="1" applyProtection="1">
      <protection locked="0"/>
    </xf>
    <xf numFmtId="189" fontId="3" fillId="10" borderId="0" xfId="12" applyNumberFormat="1" applyFont="1" applyFill="1" applyAlignment="1" applyProtection="1">
      <alignment vertical="top"/>
      <protection locked="0"/>
    </xf>
    <xf numFmtId="41" fontId="3" fillId="10" borderId="0" xfId="12" applyNumberFormat="1" applyFont="1" applyFill="1" applyAlignment="1" applyProtection="1">
      <alignment vertical="top"/>
      <protection locked="0"/>
    </xf>
    <xf numFmtId="41" fontId="3" fillId="10" borderId="0" xfId="12" applyNumberFormat="1" applyFont="1" applyFill="1" applyAlignment="1" applyProtection="1">
      <alignment horizontal="center" vertical="top"/>
      <protection locked="0"/>
    </xf>
    <xf numFmtId="189" fontId="3" fillId="10" borderId="0" xfId="12" applyNumberFormat="1" applyFont="1" applyFill="1" applyAlignment="1" applyProtection="1">
      <alignment vertical="top" wrapText="1"/>
      <protection locked="0"/>
    </xf>
    <xf numFmtId="41" fontId="3" fillId="10" borderId="0" xfId="12" applyNumberFormat="1" applyFont="1" applyFill="1" applyAlignment="1" applyProtection="1">
      <alignment vertical="top" wrapText="1"/>
      <protection locked="0"/>
    </xf>
    <xf numFmtId="41" fontId="3" fillId="10" borderId="0" xfId="12" applyNumberFormat="1" applyFont="1" applyFill="1" applyAlignment="1" applyProtection="1">
      <alignment horizontal="center" vertical="top" wrapText="1"/>
      <protection locked="0"/>
    </xf>
    <xf numFmtId="0" fontId="3" fillId="10" borderId="0" xfId="12" applyFont="1" applyFill="1" applyAlignment="1" applyProtection="1">
      <alignment vertical="top" wrapText="1"/>
      <protection locked="0"/>
    </xf>
    <xf numFmtId="0" fontId="3" fillId="10" borderId="0" xfId="12" applyFont="1" applyFill="1" applyAlignment="1" applyProtection="1">
      <alignment vertical="top"/>
      <protection locked="0"/>
    </xf>
    <xf numFmtId="0" fontId="3" fillId="10" borderId="0" xfId="18" applyFont="1" applyFill="1" applyAlignment="1" applyProtection="1">
      <alignment vertical="top" wrapText="1"/>
      <protection locked="0"/>
    </xf>
    <xf numFmtId="0" fontId="3" fillId="10" borderId="0" xfId="0" applyFont="1" applyFill="1" applyAlignment="1" applyProtection="1">
      <alignment vertical="top" wrapText="1"/>
      <protection locked="0"/>
    </xf>
    <xf numFmtId="0" fontId="7" fillId="0" borderId="0" xfId="11" applyFont="1" applyFill="1" applyAlignment="1">
      <alignment vertical="top"/>
    </xf>
    <xf numFmtId="43" fontId="7" fillId="0" borderId="0" xfId="1" applyFont="1" applyFill="1" applyAlignment="1">
      <alignment vertical="top"/>
    </xf>
    <xf numFmtId="166" fontId="7" fillId="0" borderId="0" xfId="1" applyNumberFormat="1" applyFont="1" applyFill="1" applyBorder="1" applyAlignment="1">
      <alignment vertical="top" wrapText="1"/>
    </xf>
    <xf numFmtId="37" fontId="7" fillId="0" borderId="0" xfId="11" applyNumberFormat="1" applyFont="1" applyFill="1" applyAlignment="1">
      <alignment vertical="top"/>
    </xf>
    <xf numFmtId="37" fontId="3" fillId="10" borderId="0" xfId="11" applyNumberFormat="1" applyFont="1" applyFill="1" applyAlignment="1" applyProtection="1">
      <alignment vertical="top"/>
      <protection locked="0"/>
    </xf>
    <xf numFmtId="0" fontId="3" fillId="10" borderId="0" xfId="11" applyFont="1" applyFill="1" applyAlignment="1" applyProtection="1">
      <alignment horizontal="center" vertical="top"/>
      <protection locked="0"/>
    </xf>
    <xf numFmtId="0" fontId="3" fillId="10" borderId="0" xfId="11" applyFont="1" applyFill="1" applyAlignment="1" applyProtection="1">
      <alignment vertical="top" wrapText="1"/>
      <protection locked="0"/>
    </xf>
    <xf numFmtId="187" fontId="3" fillId="10" borderId="0" xfId="12" applyNumberFormat="1" applyFont="1" applyFill="1" applyAlignment="1" applyProtection="1">
      <alignment horizontal="center" vertical="top"/>
      <protection locked="0"/>
    </xf>
    <xf numFmtId="41" fontId="3" fillId="10" borderId="0" xfId="12" applyNumberFormat="1" applyFont="1" applyFill="1" applyAlignment="1" applyProtection="1">
      <alignment horizontal="right" vertical="top"/>
      <protection locked="0"/>
    </xf>
    <xf numFmtId="0" fontId="3" fillId="10" borderId="0" xfId="19" applyFont="1" applyFill="1" applyAlignment="1" applyProtection="1">
      <alignment vertical="top"/>
      <protection locked="0"/>
    </xf>
    <xf numFmtId="41" fontId="3" fillId="10" borderId="0" xfId="12" applyNumberFormat="1" applyFont="1" applyFill="1" applyAlignment="1">
      <alignment horizontal="right" vertical="top"/>
    </xf>
    <xf numFmtId="187" fontId="3" fillId="10" borderId="0" xfId="12" applyNumberFormat="1" applyFont="1" applyFill="1" applyAlignment="1">
      <alignment horizontal="center" vertical="top"/>
    </xf>
    <xf numFmtId="187" fontId="3" fillId="10" borderId="0" xfId="12" applyNumberFormat="1" applyFont="1" applyFill="1" applyAlignment="1">
      <alignment horizontal="center"/>
    </xf>
    <xf numFmtId="0" fontId="3" fillId="10" borderId="0" xfId="19" applyFont="1" applyFill="1" applyAlignment="1">
      <alignment vertical="top" wrapText="1"/>
    </xf>
    <xf numFmtId="41" fontId="3" fillId="10" borderId="0" xfId="12" applyNumberFormat="1" applyFont="1" applyFill="1" applyAlignment="1">
      <alignment horizontal="right"/>
    </xf>
    <xf numFmtId="0" fontId="3" fillId="10" borderId="0" xfId="0" applyFont="1" applyFill="1"/>
    <xf numFmtId="0" fontId="3" fillId="10" borderId="0" xfId="12" applyFont="1" applyFill="1" applyAlignment="1">
      <alignment horizontal="right"/>
    </xf>
    <xf numFmtId="187" fontId="3" fillId="10" borderId="0" xfId="12" applyNumberFormat="1" applyFont="1" applyFill="1"/>
    <xf numFmtId="41" fontId="3" fillId="10" borderId="0" xfId="1" applyNumberFormat="1" applyFont="1" applyFill="1" applyAlignment="1">
      <alignment vertical="top"/>
    </xf>
    <xf numFmtId="187" fontId="3" fillId="10" borderId="0" xfId="12" applyNumberFormat="1" applyFont="1" applyFill="1" applyAlignment="1">
      <alignment vertical="top"/>
    </xf>
    <xf numFmtId="0" fontId="3" fillId="10" borderId="0" xfId="26" applyFont="1" applyFill="1" applyAlignment="1">
      <alignment vertical="top"/>
    </xf>
    <xf numFmtId="41" fontId="3" fillId="10" borderId="0" xfId="26" applyNumberFormat="1" applyFont="1" applyFill="1" applyAlignment="1">
      <alignment vertical="top"/>
    </xf>
    <xf numFmtId="41" fontId="3" fillId="10" borderId="0" xfId="2" applyNumberFormat="1" applyFont="1" applyFill="1" applyBorder="1" applyAlignment="1">
      <alignment vertical="top"/>
    </xf>
    <xf numFmtId="0" fontId="3" fillId="10" borderId="0" xfId="26" applyFont="1" applyFill="1" applyAlignment="1">
      <alignment vertical="top" wrapText="1"/>
    </xf>
    <xf numFmtId="41" fontId="3" fillId="10" borderId="0" xfId="2" applyNumberFormat="1" applyFont="1" applyFill="1" applyBorder="1" applyAlignment="1">
      <alignment vertical="top" wrapText="1"/>
    </xf>
    <xf numFmtId="0" fontId="15" fillId="10" borderId="0" xfId="11" applyFont="1" applyFill="1" applyAlignment="1" applyProtection="1">
      <protection locked="0"/>
    </xf>
    <xf numFmtId="43" fontId="3" fillId="10" borderId="0" xfId="11" applyNumberFormat="1" applyFont="1" applyFill="1" applyBorder="1" applyAlignment="1" applyProtection="1">
      <alignment vertical="top"/>
      <protection locked="0"/>
    </xf>
    <xf numFmtId="0" fontId="3" fillId="10" borderId="0" xfId="0" applyFont="1" applyFill="1" applyAlignment="1">
      <alignment horizontal="left" vertical="top" wrapText="1"/>
    </xf>
    <xf numFmtId="0" fontId="15" fillId="10" borderId="0" xfId="19" applyFont="1" applyFill="1" applyAlignment="1">
      <alignment vertical="top" wrapText="1"/>
    </xf>
    <xf numFmtId="41" fontId="3" fillId="10" borderId="0" xfId="2" applyNumberFormat="1" applyFont="1" applyFill="1" applyAlignment="1">
      <alignment vertical="top" wrapText="1"/>
    </xf>
    <xf numFmtId="41" fontId="3" fillId="10" borderId="0" xfId="2" applyNumberFormat="1" applyFont="1" applyFill="1" applyAlignment="1">
      <alignment vertical="top"/>
    </xf>
    <xf numFmtId="0" fontId="3" fillId="10" borderId="0" xfId="26" applyFont="1" applyFill="1"/>
    <xf numFmtId="0" fontId="3" fillId="10" borderId="0" xfId="27" applyFont="1" applyFill="1"/>
    <xf numFmtId="0" fontId="3" fillId="10" borderId="0" xfId="12" applyFont="1" applyFill="1" applyAlignment="1" applyProtection="1">
      <alignment horizontal="center" vertical="top"/>
      <protection locked="0"/>
    </xf>
    <xf numFmtId="189" fontId="102" fillId="10" borderId="0" xfId="0" applyNumberFormat="1" applyFont="1" applyFill="1" applyAlignment="1">
      <alignment horizontal="right" vertical="top" wrapText="1"/>
    </xf>
    <xf numFmtId="0" fontId="3" fillId="10" borderId="0" xfId="11" applyFont="1" applyFill="1" applyAlignment="1">
      <alignment horizontal="left" vertical="top"/>
    </xf>
    <xf numFmtId="0" fontId="3" fillId="10" borderId="0" xfId="11" applyFont="1" applyFill="1" applyAlignment="1">
      <alignment vertical="top"/>
    </xf>
    <xf numFmtId="41" fontId="3" fillId="10" borderId="0" xfId="11" applyNumberFormat="1" applyFont="1" applyFill="1" applyBorder="1" applyAlignment="1" applyProtection="1">
      <alignment vertical="top" wrapText="1"/>
      <protection locked="0"/>
    </xf>
    <xf numFmtId="41" fontId="3" fillId="10" borderId="0" xfId="11" applyNumberFormat="1" applyFont="1" applyFill="1" applyAlignment="1" applyProtection="1">
      <alignment vertical="top" wrapText="1"/>
      <protection locked="0"/>
    </xf>
    <xf numFmtId="41" fontId="3" fillId="10" borderId="0" xfId="11" applyNumberFormat="1" applyFont="1" applyFill="1" applyAlignment="1" applyProtection="1">
      <alignment horizontal="center" vertical="top" wrapText="1"/>
      <protection locked="0"/>
    </xf>
    <xf numFmtId="0" fontId="3" fillId="10" borderId="0" xfId="18" applyNumberFormat="1" applyFont="1" applyFill="1" applyAlignment="1" applyProtection="1">
      <alignment vertical="top" wrapText="1"/>
      <protection locked="0"/>
    </xf>
    <xf numFmtId="0" fontId="3" fillId="10" borderId="0" xfId="0" applyFont="1" applyFill="1" applyAlignment="1" applyProtection="1">
      <alignment horizontal="center"/>
      <protection locked="0"/>
    </xf>
    <xf numFmtId="41" fontId="3" fillId="10" borderId="0" xfId="1" applyNumberFormat="1" applyFont="1" applyFill="1" applyBorder="1" applyProtection="1">
      <protection locked="0"/>
    </xf>
    <xf numFmtId="41" fontId="3" fillId="10" borderId="0" xfId="0" applyNumberFormat="1" applyFont="1" applyFill="1" applyProtection="1">
      <protection locked="0"/>
    </xf>
    <xf numFmtId="10" fontId="3" fillId="10" borderId="0" xfId="20" applyNumberFormat="1" applyFont="1" applyFill="1" applyProtection="1">
      <protection locked="0"/>
    </xf>
    <xf numFmtId="166" fontId="3" fillId="0" borderId="0" xfId="1" applyNumberFormat="1" applyFont="1" applyFill="1"/>
    <xf numFmtId="0" fontId="77" fillId="10" borderId="0" xfId="0" applyFont="1" applyFill="1" applyAlignment="1" applyProtection="1">
      <alignment horizontal="left" vertical="top" wrapText="1"/>
      <protection locked="0"/>
    </xf>
    <xf numFmtId="0" fontId="77" fillId="10" borderId="0" xfId="0" applyFont="1" applyFill="1" applyAlignment="1" applyProtection="1">
      <alignment horizontal="center" vertical="top" wrapText="1"/>
      <protection locked="0"/>
    </xf>
    <xf numFmtId="41" fontId="77" fillId="10" borderId="0" xfId="0" applyNumberFormat="1" applyFont="1" applyFill="1" applyAlignment="1" applyProtection="1">
      <alignment horizontal="center" vertical="top"/>
      <protection locked="0"/>
    </xf>
    <xf numFmtId="0" fontId="0" fillId="10" borderId="0" xfId="0" applyFill="1" applyAlignment="1">
      <alignment vertical="top"/>
    </xf>
    <xf numFmtId="0" fontId="0" fillId="10" borderId="0" xfId="0" applyFill="1"/>
    <xf numFmtId="166" fontId="0" fillId="10" borderId="0" xfId="1" applyNumberFormat="1" applyFont="1" applyFill="1" applyAlignment="1">
      <alignment vertical="top"/>
    </xf>
    <xf numFmtId="0" fontId="77" fillId="10" borderId="0" xfId="0" applyFont="1" applyFill="1" applyBorder="1" applyAlignment="1" applyProtection="1">
      <alignment horizontal="left" vertical="top" wrapText="1"/>
      <protection locked="0"/>
    </xf>
    <xf numFmtId="0" fontId="77" fillId="10" borderId="0" xfId="0" applyFont="1" applyFill="1" applyBorder="1" applyAlignment="1" applyProtection="1">
      <alignment horizontal="center" vertical="top" wrapText="1"/>
      <protection locked="0"/>
    </xf>
    <xf numFmtId="0" fontId="40" fillId="0" borderId="0" xfId="0" applyFont="1" applyFill="1"/>
    <xf numFmtId="0" fontId="4" fillId="10" borderId="0" xfId="0" applyFont="1" applyFill="1" applyAlignment="1" applyProtection="1">
      <alignment vertical="top"/>
      <protection locked="0"/>
    </xf>
    <xf numFmtId="10" fontId="4" fillId="10" borderId="0" xfId="0" applyNumberFormat="1" applyFont="1" applyFill="1" applyProtection="1">
      <protection locked="0"/>
    </xf>
    <xf numFmtId="39" fontId="4" fillId="10" borderId="0" xfId="0" applyNumberFormat="1" applyFont="1" applyFill="1" applyAlignment="1" applyProtection="1">
      <alignment vertical="top"/>
      <protection locked="0"/>
    </xf>
    <xf numFmtId="14" fontId="77" fillId="10" borderId="18" xfId="0" applyNumberFormat="1" applyFont="1" applyFill="1" applyBorder="1" applyProtection="1">
      <protection locked="0"/>
    </xf>
    <xf numFmtId="14" fontId="77" fillId="10" borderId="0" xfId="0" applyNumberFormat="1" applyFont="1" applyFill="1" applyBorder="1" applyAlignment="1" applyProtection="1">
      <alignment horizontal="center"/>
      <protection locked="0"/>
    </xf>
    <xf numFmtId="0" fontId="77" fillId="10" borderId="17" xfId="0" applyFont="1" applyFill="1" applyBorder="1" applyAlignment="1" applyProtection="1">
      <alignment horizontal="center"/>
      <protection locked="0"/>
    </xf>
    <xf numFmtId="0" fontId="77" fillId="10" borderId="0" xfId="0" applyFont="1" applyFill="1" applyAlignment="1" applyProtection="1">
      <alignment horizontal="center"/>
      <protection locked="0"/>
    </xf>
    <xf numFmtId="0" fontId="77" fillId="10" borderId="0" xfId="0" applyFont="1" applyFill="1" applyBorder="1" applyAlignment="1" applyProtection="1">
      <alignment horizontal="center"/>
      <protection locked="0"/>
    </xf>
    <xf numFmtId="0" fontId="76" fillId="10" borderId="0" xfId="0" applyFont="1" applyFill="1" applyBorder="1" applyProtection="1">
      <protection locked="0"/>
    </xf>
    <xf numFmtId="0" fontId="77" fillId="10" borderId="0" xfId="0" applyFont="1" applyFill="1" applyBorder="1" applyProtection="1">
      <protection locked="0"/>
    </xf>
    <xf numFmtId="6" fontId="77" fillId="10" borderId="0" xfId="0" applyNumberFormat="1" applyFont="1" applyFill="1" applyBorder="1" applyAlignment="1" applyProtection="1">
      <alignment horizontal="center"/>
      <protection locked="0"/>
    </xf>
    <xf numFmtId="0" fontId="76" fillId="10" borderId="0" xfId="0" quotePrefix="1" applyFont="1" applyFill="1" applyBorder="1" applyProtection="1">
      <protection locked="0"/>
    </xf>
    <xf numFmtId="172" fontId="76" fillId="10" borderId="0" xfId="0" applyNumberFormat="1" applyFont="1" applyFill="1" applyBorder="1" applyAlignment="1" applyProtection="1">
      <alignment horizontal="left"/>
      <protection locked="0"/>
    </xf>
    <xf numFmtId="0" fontId="76" fillId="10" borderId="0" xfId="0" applyFont="1" applyFill="1" applyBorder="1" applyAlignment="1" applyProtection="1">
      <alignment horizontal="center"/>
      <protection locked="0"/>
    </xf>
    <xf numFmtId="166" fontId="83" fillId="10" borderId="0" xfId="0" applyNumberFormat="1" applyFont="1" applyFill="1" applyBorder="1" applyProtection="1">
      <protection locked="0"/>
    </xf>
    <xf numFmtId="168" fontId="76" fillId="10" borderId="0" xfId="0" applyNumberFormat="1" applyFont="1" applyFill="1" applyBorder="1" applyAlignment="1" applyProtection="1">
      <protection locked="0"/>
    </xf>
    <xf numFmtId="0" fontId="83" fillId="10" borderId="0" xfId="0" applyFont="1" applyFill="1" applyBorder="1" applyProtection="1">
      <protection locked="0"/>
    </xf>
    <xf numFmtId="168" fontId="76" fillId="10" borderId="0" xfId="0" applyNumberFormat="1" applyFont="1" applyFill="1" applyBorder="1" applyProtection="1">
      <protection locked="0"/>
    </xf>
    <xf numFmtId="166" fontId="85" fillId="10" borderId="0" xfId="0" applyNumberFormat="1" applyFont="1" applyFill="1" applyBorder="1" applyProtection="1">
      <protection locked="0"/>
    </xf>
    <xf numFmtId="0" fontId="85" fillId="10" borderId="0" xfId="0" applyFont="1" applyFill="1" applyBorder="1" applyProtection="1">
      <protection locked="0"/>
    </xf>
    <xf numFmtId="168" fontId="77" fillId="10" borderId="0" xfId="0" applyNumberFormat="1" applyFont="1" applyFill="1" applyBorder="1" applyProtection="1">
      <protection locked="0"/>
    </xf>
    <xf numFmtId="170" fontId="76" fillId="10" borderId="0" xfId="5" applyNumberFormat="1" applyFont="1" applyFill="1" applyBorder="1" applyProtection="1">
      <protection locked="0"/>
    </xf>
    <xf numFmtId="166" fontId="99" fillId="10" borderId="0" xfId="0" applyNumberFormat="1" applyFont="1" applyFill="1" applyBorder="1" applyProtection="1">
      <protection locked="0"/>
    </xf>
    <xf numFmtId="0" fontId="99" fillId="10" borderId="0" xfId="0" applyFont="1" applyFill="1" applyBorder="1" applyProtection="1">
      <protection locked="0"/>
    </xf>
    <xf numFmtId="166" fontId="76" fillId="10" borderId="0" xfId="3" applyNumberFormat="1" applyFont="1" applyFill="1" applyBorder="1" applyProtection="1">
      <protection locked="0"/>
    </xf>
    <xf numFmtId="166" fontId="76" fillId="10" borderId="0" xfId="0" applyNumberFormat="1" applyFont="1" applyFill="1" applyBorder="1" applyProtection="1">
      <protection locked="0"/>
    </xf>
    <xf numFmtId="6" fontId="76" fillId="10" borderId="0" xfId="0" applyNumberFormat="1" applyFont="1" applyFill="1" applyBorder="1" applyAlignment="1" applyProtection="1">
      <alignment horizontal="center"/>
      <protection locked="0"/>
    </xf>
    <xf numFmtId="0" fontId="3" fillId="10" borderId="17" xfId="0" applyFont="1" applyFill="1" applyBorder="1" applyAlignment="1" applyProtection="1">
      <alignment horizontal="center"/>
      <protection locked="0"/>
    </xf>
    <xf numFmtId="0" fontId="7" fillId="10" borderId="17" xfId="0" applyFont="1" applyFill="1" applyBorder="1" applyAlignment="1" applyProtection="1">
      <alignment horizontal="center"/>
      <protection locked="0"/>
    </xf>
    <xf numFmtId="0" fontId="95" fillId="10" borderId="22" xfId="0" applyFont="1" applyFill="1" applyBorder="1" applyAlignment="1" applyProtection="1">
      <alignment horizontal="center"/>
      <protection locked="0"/>
    </xf>
    <xf numFmtId="42" fontId="76" fillId="10" borderId="0" xfId="0" applyNumberFormat="1" applyFont="1" applyFill="1" applyBorder="1" applyProtection="1">
      <protection locked="0"/>
    </xf>
    <xf numFmtId="0" fontId="76" fillId="10" borderId="0" xfId="0" applyFont="1" applyFill="1" applyProtection="1">
      <protection locked="0"/>
    </xf>
    <xf numFmtId="168" fontId="76" fillId="10" borderId="0" xfId="0" applyNumberFormat="1" applyFont="1" applyFill="1" applyAlignment="1" applyProtection="1">
      <alignment horizontal="center"/>
      <protection locked="0"/>
    </xf>
    <xf numFmtId="1" fontId="76" fillId="10" borderId="0" xfId="0" applyNumberFormat="1" applyFont="1" applyFill="1" applyAlignment="1" applyProtection="1">
      <alignment horizontal="center"/>
      <protection locked="0"/>
    </xf>
    <xf numFmtId="184" fontId="76" fillId="10" borderId="0" xfId="0" applyNumberFormat="1" applyFont="1" applyFill="1" applyProtection="1">
      <protection locked="0"/>
    </xf>
    <xf numFmtId="168" fontId="76" fillId="10" borderId="10" xfId="3" applyNumberFormat="1" applyFont="1" applyFill="1" applyBorder="1" applyAlignment="1" applyProtection="1">
      <alignment horizontal="center"/>
      <protection locked="0"/>
    </xf>
    <xf numFmtId="0" fontId="88" fillId="10" borderId="0" xfId="0" applyFont="1" applyFill="1" applyBorder="1" applyAlignment="1" applyProtection="1">
      <alignment horizontal="center"/>
      <protection locked="0"/>
    </xf>
    <xf numFmtId="0" fontId="76" fillId="10" borderId="0" xfId="0" applyFont="1" applyFill="1" applyAlignment="1" applyProtection="1">
      <alignment horizontal="center"/>
      <protection locked="0"/>
    </xf>
    <xf numFmtId="168" fontId="76" fillId="10" borderId="10" xfId="3" applyNumberFormat="1" applyFont="1" applyFill="1" applyBorder="1" applyProtection="1">
      <protection locked="0"/>
    </xf>
    <xf numFmtId="42" fontId="76" fillId="10" borderId="0" xfId="3" applyNumberFormat="1" applyFont="1" applyFill="1" applyBorder="1" applyProtection="1">
      <protection locked="0"/>
    </xf>
    <xf numFmtId="14" fontId="3" fillId="10" borderId="0" xfId="0" applyNumberFormat="1" applyFont="1" applyFill="1" applyBorder="1" applyAlignment="1" applyProtection="1">
      <alignment horizontal="center"/>
      <protection locked="0"/>
    </xf>
    <xf numFmtId="14" fontId="3" fillId="10" borderId="0" xfId="0" applyNumberFormat="1" applyFont="1" applyFill="1" applyBorder="1" applyAlignment="1">
      <alignment horizontal="center"/>
    </xf>
    <xf numFmtId="166" fontId="3" fillId="10" borderId="0" xfId="1" applyNumberFormat="1" applyFont="1" applyFill="1" applyProtection="1">
      <protection locked="0"/>
    </xf>
    <xf numFmtId="166" fontId="3" fillId="10" borderId="0" xfId="1" applyNumberFormat="1" applyFont="1" applyFill="1"/>
    <xf numFmtId="172" fontId="3" fillId="10" borderId="0" xfId="0" applyNumberFormat="1" applyFont="1" applyFill="1" applyProtection="1">
      <protection locked="0"/>
    </xf>
    <xf numFmtId="10" fontId="3" fillId="10" borderId="0" xfId="0" applyNumberFormat="1" applyFont="1" applyFill="1" applyProtection="1">
      <protection locked="0"/>
    </xf>
    <xf numFmtId="10" fontId="3" fillId="10" borderId="0" xfId="0" applyNumberFormat="1" applyFont="1" applyFill="1"/>
    <xf numFmtId="168" fontId="3" fillId="10" borderId="0" xfId="20" applyNumberFormat="1" applyFont="1" applyFill="1" applyProtection="1">
      <protection locked="0"/>
    </xf>
    <xf numFmtId="3" fontId="3" fillId="10" borderId="0" xfId="20" applyNumberFormat="1" applyFont="1" applyFill="1" applyProtection="1">
      <protection locked="0"/>
    </xf>
    <xf numFmtId="41" fontId="3" fillId="10" borderId="0" xfId="20" applyNumberFormat="1" applyFont="1" applyFill="1" applyProtection="1">
      <protection locked="0"/>
    </xf>
    <xf numFmtId="168" fontId="3" fillId="10" borderId="0" xfId="0" applyNumberFormat="1" applyFont="1" applyFill="1" applyProtection="1">
      <protection locked="0"/>
    </xf>
    <xf numFmtId="168" fontId="3" fillId="10" borderId="0" xfId="20" applyNumberFormat="1" applyFont="1" applyFill="1"/>
    <xf numFmtId="168" fontId="3" fillId="10" borderId="0" xfId="0" applyNumberFormat="1" applyFont="1" applyFill="1"/>
    <xf numFmtId="166" fontId="3" fillId="10" borderId="0" xfId="0" applyNumberFormat="1" applyFont="1" applyFill="1" applyProtection="1">
      <protection locked="0"/>
    </xf>
    <xf numFmtId="166" fontId="3" fillId="10" borderId="0" xfId="0" applyNumberFormat="1" applyFont="1" applyFill="1"/>
    <xf numFmtId="37" fontId="4" fillId="10" borderId="6" xfId="0" applyNumberFormat="1" applyFont="1" applyFill="1" applyBorder="1" applyAlignment="1" applyProtection="1">
      <alignment horizontal="center"/>
      <protection locked="0"/>
    </xf>
    <xf numFmtId="0" fontId="4" fillId="0" borderId="1" xfId="0" applyFont="1" applyBorder="1" applyAlignment="1" applyProtection="1">
      <alignment horizontal="center"/>
    </xf>
    <xf numFmtId="0" fontId="8" fillId="0" borderId="0" xfId="0" applyFont="1" applyAlignment="1">
      <alignment horizontal="center"/>
    </xf>
    <xf numFmtId="0" fontId="4" fillId="0" borderId="0" xfId="0" applyNumberFormat="1" applyFont="1" applyBorder="1" applyAlignment="1">
      <alignment horizontal="center"/>
    </xf>
    <xf numFmtId="0" fontId="4" fillId="0" borderId="1" xfId="0" applyFont="1" applyBorder="1" applyAlignment="1">
      <alignment horizontal="center"/>
    </xf>
    <xf numFmtId="0" fontId="1" fillId="0" borderId="11" xfId="0" applyFont="1" applyFill="1" applyBorder="1" applyProtection="1"/>
    <xf numFmtId="0" fontId="3" fillId="9" borderId="0" xfId="11" applyFont="1" applyFill="1" applyBorder="1" applyAlignment="1" applyProtection="1">
      <alignment horizontal="center" vertical="top"/>
      <protection locked="0"/>
    </xf>
    <xf numFmtId="14" fontId="3" fillId="9" borderId="0" xfId="11" applyNumberFormat="1" applyFont="1" applyFill="1" applyBorder="1" applyAlignment="1" applyProtection="1">
      <alignment horizontal="center" vertical="top"/>
      <protection locked="0"/>
    </xf>
    <xf numFmtId="0" fontId="3" fillId="2" borderId="0" xfId="11" applyFont="1" applyFill="1" applyBorder="1" applyAlignment="1" applyProtection="1">
      <alignment horizontal="right" vertical="top"/>
      <protection locked="0"/>
    </xf>
    <xf numFmtId="0" fontId="3" fillId="2" borderId="0" xfId="11" applyFont="1" applyFill="1" applyBorder="1" applyAlignment="1" applyProtection="1">
      <alignment horizontal="left" vertical="top"/>
      <protection locked="0"/>
    </xf>
    <xf numFmtId="41" fontId="3" fillId="2" borderId="0" xfId="1" applyNumberFormat="1" applyFont="1" applyFill="1" applyBorder="1" applyAlignment="1" applyProtection="1">
      <alignment horizontal="center" vertical="top"/>
      <protection locked="0"/>
    </xf>
    <xf numFmtId="41" fontId="3" fillId="2" borderId="0" xfId="11" applyNumberFormat="1" applyFont="1" applyFill="1" applyBorder="1" applyAlignment="1" applyProtection="1">
      <alignment horizontal="center" vertical="top"/>
      <protection locked="0"/>
    </xf>
    <xf numFmtId="166" fontId="3" fillId="2" borderId="0" xfId="1" applyNumberFormat="1" applyFont="1" applyFill="1" applyBorder="1" applyAlignment="1" applyProtection="1">
      <alignment horizontal="right" vertical="top"/>
      <protection locked="0"/>
    </xf>
    <xf numFmtId="0" fontId="3" fillId="2" borderId="0" xfId="11" applyFont="1" applyFill="1"/>
    <xf numFmtId="14" fontId="3" fillId="2" borderId="0" xfId="11" applyNumberFormat="1" applyFont="1" applyFill="1" applyBorder="1" applyAlignment="1" applyProtection="1">
      <alignment horizontal="center" vertical="top"/>
      <protection locked="0"/>
    </xf>
    <xf numFmtId="0" fontId="3" fillId="0" borderId="26" xfId="11" applyFont="1" applyFill="1" applyBorder="1" applyAlignment="1" applyProtection="1">
      <alignment horizontal="center" vertical="top"/>
      <protection locked="0"/>
    </xf>
    <xf numFmtId="1" fontId="3" fillId="0" borderId="26" xfId="11" applyNumberFormat="1" applyFont="1" applyFill="1" applyBorder="1" applyAlignment="1" applyProtection="1">
      <alignment horizontal="right" vertical="top"/>
      <protection locked="0"/>
    </xf>
    <xf numFmtId="1" fontId="3" fillId="0" borderId="26" xfId="11" applyNumberFormat="1" applyFont="1" applyFill="1" applyBorder="1" applyAlignment="1" applyProtection="1">
      <alignment vertical="top"/>
      <protection locked="0"/>
    </xf>
    <xf numFmtId="41" fontId="3" fillId="9" borderId="26" xfId="11" applyNumberFormat="1" applyFont="1" applyFill="1" applyBorder="1" applyAlignment="1" applyProtection="1">
      <alignment horizontal="right" vertical="top"/>
      <protection locked="0"/>
    </xf>
    <xf numFmtId="166" fontId="3" fillId="0" borderId="26" xfId="11" applyNumberFormat="1" applyFont="1" applyFill="1" applyBorder="1" applyAlignment="1" applyProtection="1">
      <alignment vertical="top"/>
      <protection locked="0"/>
    </xf>
    <xf numFmtId="14" fontId="3" fillId="9" borderId="26" xfId="11" applyNumberFormat="1" applyFont="1" applyFill="1" applyBorder="1" applyAlignment="1" applyProtection="1">
      <alignment horizontal="right" vertical="top"/>
      <protection locked="0"/>
    </xf>
    <xf numFmtId="41" fontId="3" fillId="0" borderId="26" xfId="11" applyNumberFormat="1" applyFont="1" applyFill="1" applyBorder="1" applyProtection="1">
      <protection locked="0"/>
    </xf>
    <xf numFmtId="41" fontId="108" fillId="0" borderId="0" xfId="11" applyNumberFormat="1" applyFont="1" applyFill="1" applyBorder="1" applyAlignment="1" applyProtection="1">
      <alignment horizontal="center" vertical="top"/>
    </xf>
    <xf numFmtId="0" fontId="3" fillId="0" borderId="26" xfId="11" applyFont="1" applyFill="1" applyBorder="1" applyAlignment="1" applyProtection="1">
      <alignment horizontal="right" vertical="top"/>
    </xf>
    <xf numFmtId="0" fontId="3" fillId="0" borderId="26" xfId="11" applyFont="1" applyFill="1" applyBorder="1" applyAlignment="1" applyProtection="1">
      <alignment vertical="top"/>
    </xf>
    <xf numFmtId="41" fontId="18" fillId="0" borderId="26" xfId="11" applyNumberFormat="1" applyFont="1" applyFill="1" applyBorder="1" applyAlignment="1" applyProtection="1">
      <alignment horizontal="center" vertical="top"/>
    </xf>
    <xf numFmtId="0" fontId="3" fillId="0" borderId="26" xfId="11" applyFont="1" applyFill="1" applyBorder="1" applyAlignment="1" applyProtection="1">
      <alignment vertical="top" wrapText="1"/>
    </xf>
    <xf numFmtId="0" fontId="3" fillId="2" borderId="23" xfId="11" applyFont="1" applyFill="1" applyBorder="1" applyAlignment="1" applyProtection="1">
      <alignment vertical="top" wrapText="1"/>
    </xf>
    <xf numFmtId="0" fontId="3" fillId="0" borderId="26" xfId="11" applyFont="1" applyFill="1" applyBorder="1" applyAlignment="1" applyProtection="1">
      <alignment horizontal="left" vertical="top"/>
      <protection locked="0"/>
    </xf>
    <xf numFmtId="0" fontId="3" fillId="6" borderId="23" xfId="11" applyFont="1" applyFill="1" applyBorder="1" applyAlignment="1" applyProtection="1">
      <alignment vertical="top" wrapText="1"/>
      <protection locked="0"/>
    </xf>
    <xf numFmtId="0" fontId="3" fillId="0" borderId="26" xfId="11" applyFont="1" applyFill="1" applyBorder="1" applyAlignment="1" applyProtection="1">
      <alignment horizontal="right" vertical="top"/>
      <protection locked="0"/>
    </xf>
    <xf numFmtId="166" fontId="3" fillId="7" borderId="26" xfId="11" applyNumberFormat="1" applyFont="1" applyFill="1" applyBorder="1" applyAlignment="1" applyProtection="1">
      <alignment horizontal="right" vertical="top"/>
      <protection locked="0"/>
    </xf>
    <xf numFmtId="41" fontId="3" fillId="0" borderId="26" xfId="1" applyNumberFormat="1" applyFont="1" applyFill="1" applyBorder="1" applyAlignment="1" applyProtection="1">
      <alignment horizontal="center" vertical="top"/>
      <protection locked="0"/>
    </xf>
    <xf numFmtId="166" fontId="3" fillId="0" borderId="26" xfId="1" applyNumberFormat="1" applyFont="1" applyFill="1" applyBorder="1" applyAlignment="1" applyProtection="1">
      <alignment horizontal="right" vertical="top"/>
      <protection locked="0"/>
    </xf>
    <xf numFmtId="41" fontId="3" fillId="7" borderId="0" xfId="1" applyNumberFormat="1" applyFont="1" applyFill="1" applyBorder="1" applyAlignment="1" applyProtection="1">
      <alignment horizontal="center" vertical="top"/>
      <protection locked="0"/>
    </xf>
    <xf numFmtId="41" fontId="3" fillId="10" borderId="26" xfId="11" applyNumberFormat="1" applyFont="1" applyFill="1" applyBorder="1" applyAlignment="1" applyProtection="1">
      <alignment horizontal="center" vertical="top"/>
      <protection locked="0"/>
    </xf>
    <xf numFmtId="41" fontId="3" fillId="10" borderId="23" xfId="11" applyNumberFormat="1" applyFont="1" applyFill="1" applyBorder="1" applyAlignment="1" applyProtection="1">
      <alignment horizontal="right" vertical="top"/>
      <protection locked="0"/>
    </xf>
    <xf numFmtId="41" fontId="3" fillId="10" borderId="26" xfId="11" applyNumberFormat="1" applyFont="1" applyFill="1" applyBorder="1" applyAlignment="1" applyProtection="1">
      <alignment horizontal="right" vertical="top"/>
      <protection locked="0"/>
    </xf>
    <xf numFmtId="41" fontId="3" fillId="10" borderId="26" xfId="11" applyNumberFormat="1" applyFont="1" applyFill="1" applyBorder="1" applyAlignment="1" applyProtection="1">
      <alignment vertical="top"/>
      <protection locked="0"/>
    </xf>
    <xf numFmtId="41" fontId="3" fillId="10" borderId="23" xfId="11" applyNumberFormat="1" applyFont="1" applyFill="1" applyBorder="1" applyAlignment="1" applyProtection="1">
      <alignment horizontal="left" vertical="top" wrapText="1"/>
      <protection locked="0"/>
    </xf>
    <xf numFmtId="0" fontId="3" fillId="10" borderId="23" xfId="11" applyFont="1" applyFill="1" applyBorder="1" applyAlignment="1" applyProtection="1">
      <alignment horizontal="left" vertical="top"/>
      <protection locked="0"/>
    </xf>
    <xf numFmtId="0" fontId="3" fillId="10" borderId="26" xfId="11" applyFont="1" applyFill="1" applyBorder="1" applyAlignment="1" applyProtection="1">
      <alignment horizontal="right" vertical="top"/>
      <protection locked="0"/>
    </xf>
    <xf numFmtId="41" fontId="3" fillId="4" borderId="26" xfId="11" applyNumberFormat="1" applyFont="1" applyFill="1" applyBorder="1" applyAlignment="1" applyProtection="1">
      <alignment horizontal="center" vertical="top"/>
      <protection locked="0"/>
    </xf>
    <xf numFmtId="41" fontId="3" fillId="4" borderId="26" xfId="11" applyNumberFormat="1" applyFont="1" applyFill="1" applyBorder="1" applyAlignment="1" applyProtection="1">
      <alignment horizontal="right" vertical="top"/>
      <protection locked="0"/>
    </xf>
    <xf numFmtId="41" fontId="3" fillId="4" borderId="23" xfId="11" applyNumberFormat="1" applyFont="1" applyFill="1" applyBorder="1" applyAlignment="1" applyProtection="1">
      <alignment horizontal="right" vertical="top"/>
      <protection locked="0"/>
    </xf>
    <xf numFmtId="41" fontId="3" fillId="4" borderId="26" xfId="11" applyNumberFormat="1" applyFont="1" applyFill="1" applyBorder="1" applyAlignment="1" applyProtection="1">
      <alignment vertical="top"/>
      <protection locked="0"/>
    </xf>
    <xf numFmtId="41" fontId="3" fillId="4" borderId="26" xfId="11" applyNumberFormat="1" applyFont="1" applyFill="1" applyBorder="1" applyAlignment="1" applyProtection="1">
      <alignment horizontal="left" vertical="top" wrapText="1"/>
      <protection locked="0"/>
    </xf>
    <xf numFmtId="0" fontId="3" fillId="4" borderId="26" xfId="11" applyFont="1" applyFill="1" applyBorder="1" applyAlignment="1" applyProtection="1">
      <alignment horizontal="left" vertical="top"/>
      <protection locked="0"/>
    </xf>
    <xf numFmtId="0" fontId="3" fillId="4" borderId="26" xfId="11" applyFont="1" applyFill="1" applyBorder="1" applyAlignment="1" applyProtection="1">
      <alignment horizontal="right" vertical="top"/>
      <protection locked="0"/>
    </xf>
    <xf numFmtId="41" fontId="1" fillId="2" borderId="0" xfId="11" applyNumberFormat="1" applyFont="1" applyFill="1" applyAlignment="1" applyProtection="1">
      <alignment horizontal="center" vertical="top"/>
    </xf>
    <xf numFmtId="0" fontId="3" fillId="6" borderId="23" xfId="11" applyFont="1" applyFill="1" applyBorder="1" applyAlignment="1" applyProtection="1">
      <alignment horizontal="center" vertical="top"/>
      <protection locked="0"/>
    </xf>
    <xf numFmtId="166" fontId="3" fillId="10" borderId="0" xfId="1" applyNumberFormat="1" applyFont="1" applyFill="1" applyAlignment="1" applyProtection="1">
      <alignment vertical="top"/>
      <protection locked="0"/>
    </xf>
    <xf numFmtId="166" fontId="3" fillId="10" borderId="0" xfId="1" applyNumberFormat="1" applyFont="1" applyFill="1" applyAlignment="1" applyProtection="1">
      <alignment horizontal="right" vertical="top"/>
      <protection locked="0"/>
    </xf>
    <xf numFmtId="170" fontId="4" fillId="9" borderId="0" xfId="5" applyNumberFormat="1" applyFont="1" applyFill="1" applyBorder="1" applyAlignment="1" applyProtection="1">
      <protection locked="0"/>
    </xf>
    <xf numFmtId="166" fontId="4" fillId="9" borderId="0" xfId="1" applyNumberFormat="1" applyFont="1" applyFill="1" applyBorder="1" applyAlignment="1" applyProtection="1">
      <protection locked="0"/>
    </xf>
    <xf numFmtId="166" fontId="4" fillId="9" borderId="0" xfId="1" applyNumberFormat="1" applyFont="1" applyFill="1" applyAlignment="1" applyProtection="1">
      <alignment horizontal="right"/>
      <protection locked="0"/>
    </xf>
    <xf numFmtId="43" fontId="4" fillId="9" borderId="0" xfId="1" applyFont="1" applyFill="1" applyBorder="1" applyAlignment="1" applyProtection="1">
      <protection locked="0"/>
    </xf>
    <xf numFmtId="43" fontId="4" fillId="9" borderId="1" xfId="1" applyFont="1" applyFill="1" applyBorder="1" applyAlignment="1" applyProtection="1">
      <protection locked="0"/>
    </xf>
    <xf numFmtId="37" fontId="4" fillId="9" borderId="0" xfId="0" applyNumberFormat="1" applyFont="1" applyFill="1" applyProtection="1">
      <protection locked="0"/>
    </xf>
    <xf numFmtId="37" fontId="4" fillId="10" borderId="0" xfId="0" applyNumberFormat="1" applyFont="1" applyFill="1" applyBorder="1" applyProtection="1">
      <protection locked="0"/>
    </xf>
    <xf numFmtId="10" fontId="4" fillId="10" borderId="0" xfId="0" applyNumberFormat="1" applyFont="1" applyFill="1" applyAlignment="1" applyProtection="1">
      <alignment horizontal="left"/>
      <protection locked="0"/>
    </xf>
    <xf numFmtId="37" fontId="4" fillId="10" borderId="0" xfId="0" applyNumberFormat="1" applyFont="1" applyFill="1" applyProtection="1">
      <protection locked="0"/>
    </xf>
    <xf numFmtId="37" fontId="4" fillId="10" borderId="0" xfId="0" applyNumberFormat="1" applyFont="1" applyFill="1" applyAlignment="1" applyProtection="1">
      <alignment horizontal="right"/>
      <protection locked="0"/>
    </xf>
    <xf numFmtId="37" fontId="44" fillId="10" borderId="0" xfId="0" applyNumberFormat="1" applyFont="1" applyFill="1" applyBorder="1" applyProtection="1">
      <protection locked="0"/>
    </xf>
    <xf numFmtId="178" fontId="44" fillId="10" borderId="0" xfId="0" applyNumberFormat="1" applyFont="1" applyFill="1" applyProtection="1">
      <protection locked="0"/>
    </xf>
    <xf numFmtId="3" fontId="44" fillId="10" borderId="0" xfId="0" applyNumberFormat="1" applyFont="1" applyFill="1" applyAlignment="1" applyProtection="1">
      <alignment horizontal="right"/>
      <protection locked="0"/>
    </xf>
    <xf numFmtId="39" fontId="44" fillId="10" borderId="0" xfId="0" applyNumberFormat="1" applyFont="1" applyFill="1" applyProtection="1">
      <protection locked="0"/>
    </xf>
    <xf numFmtId="167" fontId="44" fillId="10" borderId="0" xfId="0" applyNumberFormat="1" applyFont="1" applyFill="1" applyProtection="1">
      <protection locked="0"/>
    </xf>
    <xf numFmtId="41" fontId="3" fillId="10" borderId="0" xfId="11" applyNumberFormat="1" applyFont="1" applyFill="1" applyAlignment="1" applyProtection="1">
      <alignment horizontal="right" vertical="top"/>
      <protection locked="0"/>
    </xf>
    <xf numFmtId="41" fontId="3" fillId="10" borderId="0" xfId="0" applyNumberFormat="1" applyFont="1" applyFill="1" applyAlignment="1" applyProtection="1">
      <alignment vertical="top"/>
      <protection locked="0"/>
    </xf>
    <xf numFmtId="41" fontId="3" fillId="10" borderId="0" xfId="1" applyNumberFormat="1" applyFont="1" applyFill="1" applyBorder="1" applyAlignment="1" applyProtection="1">
      <alignment vertical="top"/>
      <protection locked="0"/>
    </xf>
    <xf numFmtId="41" fontId="3" fillId="10" borderId="0" xfId="11" applyNumberFormat="1" applyFont="1" applyFill="1" applyBorder="1" applyAlignment="1" applyProtection="1">
      <alignment vertical="top"/>
    </xf>
    <xf numFmtId="39" fontId="3" fillId="10" borderId="0" xfId="11" applyNumberFormat="1" applyFont="1" applyFill="1" applyAlignment="1" applyProtection="1">
      <alignment vertical="top"/>
    </xf>
    <xf numFmtId="41" fontId="3" fillId="10" borderId="24" xfId="11" applyNumberFormat="1" applyFont="1" applyFill="1" applyBorder="1" applyAlignment="1" applyProtection="1">
      <alignment vertical="top"/>
    </xf>
    <xf numFmtId="43" fontId="3" fillId="10" borderId="0" xfId="1" applyFont="1" applyFill="1" applyBorder="1" applyAlignment="1" applyProtection="1">
      <alignment vertical="top"/>
      <protection locked="0"/>
    </xf>
    <xf numFmtId="43" fontId="3" fillId="10" borderId="26" xfId="1" applyFont="1" applyFill="1" applyBorder="1" applyAlignment="1" applyProtection="1">
      <alignment vertical="top"/>
      <protection locked="0"/>
    </xf>
    <xf numFmtId="41" fontId="3" fillId="9" borderId="23" xfId="11" applyNumberFormat="1" applyFont="1" applyFill="1" applyBorder="1" applyAlignment="1" applyProtection="1">
      <alignment horizontal="right" vertical="top"/>
      <protection locked="0"/>
    </xf>
    <xf numFmtId="166" fontId="3" fillId="9" borderId="0" xfId="1" applyNumberFormat="1" applyFont="1" applyFill="1" applyBorder="1" applyAlignment="1" applyProtection="1">
      <alignment horizontal="right" vertical="top"/>
      <protection locked="0"/>
    </xf>
    <xf numFmtId="41" fontId="3" fillId="9" borderId="0" xfId="11" applyNumberFormat="1" applyFont="1" applyFill="1" applyBorder="1" applyAlignment="1" applyProtection="1">
      <alignment horizontal="center" vertical="top"/>
      <protection locked="0"/>
    </xf>
    <xf numFmtId="41" fontId="3" fillId="9" borderId="26" xfId="11" applyNumberFormat="1" applyFont="1" applyFill="1" applyBorder="1" applyAlignment="1" applyProtection="1">
      <alignment horizontal="center" vertical="top"/>
      <protection locked="0"/>
    </xf>
    <xf numFmtId="10" fontId="95" fillId="10" borderId="0" xfId="0" applyNumberFormat="1" applyFont="1" applyFill="1" applyBorder="1" applyAlignment="1" applyProtection="1">
      <alignment horizontal="center" vertical="top"/>
      <protection locked="0"/>
    </xf>
    <xf numFmtId="166" fontId="77" fillId="10" borderId="0" xfId="1" applyNumberFormat="1" applyFont="1" applyFill="1" applyBorder="1" applyAlignment="1" applyProtection="1">
      <alignment horizontal="center" vertical="top"/>
      <protection locked="0"/>
    </xf>
    <xf numFmtId="10" fontId="77" fillId="10" borderId="0" xfId="0" applyNumberFormat="1" applyFont="1" applyFill="1" applyBorder="1" applyAlignment="1" applyProtection="1">
      <alignment horizontal="center" vertical="top"/>
      <protection locked="0"/>
    </xf>
    <xf numFmtId="10" fontId="77" fillId="10" borderId="0" xfId="0" applyNumberFormat="1" applyFont="1" applyFill="1" applyAlignment="1" applyProtection="1">
      <alignment horizontal="center" vertical="top"/>
      <protection locked="0"/>
    </xf>
    <xf numFmtId="0" fontId="77" fillId="10" borderId="0" xfId="0" quotePrefix="1" applyFont="1" applyFill="1" applyAlignment="1" applyProtection="1">
      <alignment horizontal="left" vertical="top" wrapText="1"/>
      <protection locked="0"/>
    </xf>
    <xf numFmtId="3" fontId="4" fillId="10" borderId="0" xfId="0" applyNumberFormat="1" applyFont="1" applyFill="1" applyAlignment="1" applyProtection="1">
      <alignment horizontal="right"/>
      <protection locked="0"/>
    </xf>
    <xf numFmtId="0" fontId="44" fillId="10" borderId="0" xfId="0" applyFont="1" applyFill="1" applyAlignment="1" applyProtection="1">
      <alignment horizontal="center"/>
      <protection locked="0"/>
    </xf>
    <xf numFmtId="3" fontId="4" fillId="10" borderId="0" xfId="0" applyNumberFormat="1" applyFont="1" applyFill="1" applyProtection="1">
      <protection locked="0"/>
    </xf>
    <xf numFmtId="3" fontId="4" fillId="10" borderId="0" xfId="1" applyNumberFormat="1" applyFont="1" applyFill="1" applyProtection="1">
      <protection locked="0"/>
    </xf>
    <xf numFmtId="0" fontId="44" fillId="10" borderId="0" xfId="0" applyFont="1" applyFill="1" applyBorder="1" applyAlignment="1" applyProtection="1">
      <alignment horizontal="center"/>
      <protection locked="0"/>
    </xf>
    <xf numFmtId="3" fontId="4" fillId="10" borderId="0" xfId="0" applyNumberFormat="1" applyFont="1" applyFill="1" applyBorder="1" applyAlignment="1" applyProtection="1">
      <alignment horizontal="right"/>
      <protection locked="0"/>
    </xf>
    <xf numFmtId="0" fontId="18" fillId="10" borderId="0" xfId="0" applyFont="1" applyFill="1" applyProtection="1">
      <protection locked="0"/>
    </xf>
    <xf numFmtId="39" fontId="4" fillId="10" borderId="0" xfId="0" applyNumberFormat="1" applyFont="1" applyFill="1" applyAlignment="1" applyProtection="1">
      <alignment horizontal="right"/>
      <protection locked="0"/>
    </xf>
    <xf numFmtId="39" fontId="4" fillId="10" borderId="0" xfId="0" applyNumberFormat="1" applyFont="1" applyFill="1" applyBorder="1" applyAlignment="1" applyProtection="1">
      <alignment horizontal="right"/>
      <protection locked="0"/>
    </xf>
    <xf numFmtId="39" fontId="4" fillId="10" borderId="15" xfId="0" applyNumberFormat="1" applyFont="1" applyFill="1" applyBorder="1" applyAlignment="1" applyProtection="1">
      <alignment horizontal="right"/>
      <protection locked="0"/>
    </xf>
    <xf numFmtId="0" fontId="4" fillId="10" borderId="0" xfId="0" applyFont="1" applyFill="1" applyProtection="1">
      <protection locked="0"/>
    </xf>
    <xf numFmtId="2" fontId="98" fillId="10" borderId="0" xfId="0" applyNumberFormat="1" applyFont="1" applyFill="1" applyProtection="1">
      <protection locked="0"/>
    </xf>
    <xf numFmtId="39" fontId="4" fillId="10" borderId="0" xfId="0" applyNumberFormat="1" applyFont="1" applyFill="1" applyProtection="1">
      <protection locked="0"/>
    </xf>
    <xf numFmtId="2" fontId="4" fillId="10" borderId="0" xfId="0" applyNumberFormat="1" applyFont="1" applyFill="1" applyProtection="1">
      <protection locked="0"/>
    </xf>
    <xf numFmtId="0" fontId="4" fillId="10" borderId="0" xfId="0" applyFont="1" applyFill="1"/>
    <xf numFmtId="39" fontId="4" fillId="10" borderId="0" xfId="0" applyNumberFormat="1" applyFont="1" applyFill="1"/>
    <xf numFmtId="2" fontId="23" fillId="10" borderId="0" xfId="0" applyNumberFormat="1" applyFont="1" applyFill="1" applyProtection="1">
      <protection locked="0"/>
    </xf>
    <xf numFmtId="40" fontId="4" fillId="10" borderId="0" xfId="0" applyNumberFormat="1" applyFont="1" applyFill="1" applyAlignment="1" applyProtection="1">
      <alignment wrapText="1"/>
      <protection locked="0"/>
    </xf>
    <xf numFmtId="0" fontId="82" fillId="10" borderId="0" xfId="0" applyFont="1" applyFill="1" applyBorder="1" applyProtection="1">
      <protection locked="0"/>
    </xf>
    <xf numFmtId="0" fontId="3" fillId="10" borderId="0" xfId="0" applyFont="1" applyFill="1" applyBorder="1" applyProtection="1">
      <protection locked="0"/>
    </xf>
    <xf numFmtId="14" fontId="76" fillId="10" borderId="0" xfId="0" applyNumberFormat="1" applyFont="1" applyFill="1" applyBorder="1" applyAlignment="1" applyProtection="1">
      <alignment horizontal="center"/>
      <protection locked="0"/>
    </xf>
    <xf numFmtId="166" fontId="83" fillId="10" borderId="0" xfId="3" applyNumberFormat="1" applyFont="1" applyFill="1" applyBorder="1" applyProtection="1">
      <protection locked="0"/>
    </xf>
    <xf numFmtId="14" fontId="84" fillId="10" borderId="0" xfId="0" quotePrefix="1" applyNumberFormat="1" applyFont="1" applyFill="1" applyBorder="1" applyAlignment="1" applyProtection="1">
      <alignment horizontal="center"/>
      <protection locked="0"/>
    </xf>
    <xf numFmtId="166" fontId="76" fillId="10" borderId="0" xfId="1" applyNumberFormat="1" applyFont="1" applyFill="1" applyBorder="1" applyProtection="1">
      <protection locked="0"/>
    </xf>
    <xf numFmtId="44" fontId="83" fillId="10" borderId="0" xfId="0" applyNumberFormat="1" applyFont="1" applyFill="1" applyBorder="1" applyProtection="1">
      <protection locked="0"/>
    </xf>
    <xf numFmtId="1" fontId="76" fillId="10" borderId="0" xfId="1" applyNumberFormat="1" applyFont="1" applyFill="1" applyBorder="1" applyAlignment="1" applyProtection="1">
      <alignment horizontal="center"/>
      <protection locked="0"/>
    </xf>
    <xf numFmtId="37" fontId="76" fillId="10" borderId="0" xfId="0" applyNumberFormat="1" applyFont="1" applyFill="1" applyBorder="1" applyAlignment="1">
      <alignment horizontal="right"/>
    </xf>
    <xf numFmtId="10" fontId="76" fillId="10" borderId="0" xfId="0" applyNumberFormat="1" applyFont="1" applyFill="1" applyBorder="1" applyProtection="1">
      <protection locked="0"/>
    </xf>
    <xf numFmtId="166" fontId="85" fillId="10" borderId="0" xfId="3" applyNumberFormat="1" applyFont="1" applyFill="1" applyBorder="1" applyProtection="1">
      <protection locked="0"/>
    </xf>
    <xf numFmtId="14" fontId="86" fillId="10" borderId="0" xfId="0" quotePrefix="1" applyNumberFormat="1" applyFont="1" applyFill="1" applyBorder="1" applyAlignment="1" applyProtection="1">
      <alignment horizontal="center"/>
      <protection locked="0"/>
    </xf>
    <xf numFmtId="166" fontId="77" fillId="10" borderId="0" xfId="1" applyNumberFormat="1" applyFont="1" applyFill="1" applyBorder="1" applyProtection="1">
      <protection locked="0"/>
    </xf>
    <xf numFmtId="44" fontId="85" fillId="10" borderId="0" xfId="0" applyNumberFormat="1" applyFont="1" applyFill="1" applyBorder="1" applyProtection="1">
      <protection locked="0"/>
    </xf>
    <xf numFmtId="170" fontId="77" fillId="10" borderId="0" xfId="5" applyNumberFormat="1" applyFont="1" applyFill="1" applyBorder="1" applyAlignment="1" applyProtection="1">
      <alignment horizontal="center"/>
      <protection locked="0"/>
    </xf>
    <xf numFmtId="1" fontId="77" fillId="10" borderId="0" xfId="1" applyNumberFormat="1" applyFont="1" applyFill="1" applyBorder="1" applyAlignment="1" applyProtection="1">
      <alignment horizontal="center"/>
      <protection locked="0"/>
    </xf>
    <xf numFmtId="37" fontId="77" fillId="10" borderId="0" xfId="0" applyNumberFormat="1" applyFont="1" applyFill="1" applyBorder="1" applyAlignment="1" applyProtection="1">
      <alignment horizontal="right"/>
      <protection locked="0"/>
    </xf>
    <xf numFmtId="10" fontId="3" fillId="10" borderId="0" xfId="0" applyNumberFormat="1" applyFont="1" applyFill="1" applyBorder="1" applyProtection="1">
      <protection locked="0"/>
    </xf>
    <xf numFmtId="170" fontId="76" fillId="10" borderId="0" xfId="5" applyNumberFormat="1" applyFont="1" applyFill="1" applyBorder="1" applyAlignment="1" applyProtection="1">
      <alignment horizontal="center"/>
      <protection locked="0"/>
    </xf>
    <xf numFmtId="37" fontId="76" fillId="10" borderId="0" xfId="0" applyNumberFormat="1" applyFont="1" applyFill="1" applyBorder="1" applyAlignment="1" applyProtection="1">
      <alignment horizontal="right"/>
      <protection locked="0"/>
    </xf>
    <xf numFmtId="166" fontId="76" fillId="10" borderId="0" xfId="1" applyNumberFormat="1" applyFont="1" applyFill="1" applyBorder="1" applyAlignment="1" applyProtection="1">
      <alignment horizontal="center"/>
      <protection locked="0"/>
    </xf>
    <xf numFmtId="172" fontId="82" fillId="10" borderId="0" xfId="0" applyNumberFormat="1" applyFont="1" applyFill="1" applyBorder="1" applyProtection="1">
      <protection locked="0"/>
    </xf>
    <xf numFmtId="49" fontId="76" fillId="10" borderId="0" xfId="0" applyNumberFormat="1" applyFont="1" applyFill="1" applyBorder="1" applyAlignment="1" applyProtection="1">
      <alignment horizontal="center"/>
      <protection locked="0"/>
    </xf>
    <xf numFmtId="44" fontId="76" fillId="10" borderId="0" xfId="0" applyNumberFormat="1" applyFont="1" applyFill="1" applyBorder="1" applyProtection="1">
      <protection locked="0"/>
    </xf>
    <xf numFmtId="172" fontId="76" fillId="10" borderId="0" xfId="0" applyNumberFormat="1" applyFont="1" applyFill="1" applyBorder="1" applyProtection="1">
      <protection locked="0"/>
    </xf>
    <xf numFmtId="42" fontId="76" fillId="10" borderId="0" xfId="1" applyNumberFormat="1" applyFont="1" applyFill="1" applyBorder="1" applyAlignment="1" applyProtection="1">
      <alignment horizontal="center"/>
      <protection locked="0"/>
    </xf>
    <xf numFmtId="41" fontId="76" fillId="10" borderId="0" xfId="5" applyNumberFormat="1" applyFont="1" applyFill="1" applyBorder="1" applyAlignment="1" applyProtection="1">
      <alignment horizontal="center"/>
      <protection locked="0"/>
    </xf>
    <xf numFmtId="42" fontId="76" fillId="10" borderId="0" xfId="1" applyNumberFormat="1" applyFont="1" applyFill="1" applyBorder="1" applyProtection="1">
      <protection locked="0"/>
    </xf>
    <xf numFmtId="170" fontId="76" fillId="10" borderId="0" xfId="5" applyNumberFormat="1" applyFont="1" applyFill="1" applyBorder="1" applyAlignment="1">
      <alignment horizontal="right"/>
    </xf>
    <xf numFmtId="41" fontId="76" fillId="10" borderId="0" xfId="1" applyNumberFormat="1" applyFont="1" applyFill="1" applyBorder="1" applyAlignment="1" applyProtection="1">
      <alignment horizontal="center" vertical="center"/>
      <protection locked="0"/>
    </xf>
    <xf numFmtId="41" fontId="76" fillId="10" borderId="0" xfId="1" applyNumberFormat="1" applyFont="1" applyFill="1" applyBorder="1" applyAlignment="1" applyProtection="1">
      <alignment horizontal="center"/>
      <protection locked="0"/>
    </xf>
    <xf numFmtId="0" fontId="82" fillId="10" borderId="0" xfId="0" applyFont="1" applyFill="1" applyBorder="1" applyAlignment="1" applyProtection="1">
      <alignment horizontal="center"/>
      <protection locked="0"/>
    </xf>
    <xf numFmtId="0" fontId="77" fillId="10" borderId="10" xfId="0" applyFont="1" applyFill="1" applyBorder="1" applyAlignment="1" applyProtection="1">
      <alignment horizontal="center"/>
      <protection locked="0"/>
    </xf>
    <xf numFmtId="41" fontId="76" fillId="10" borderId="0" xfId="5" applyNumberFormat="1" applyFont="1" applyFill="1" applyBorder="1" applyProtection="1">
      <protection locked="0"/>
    </xf>
    <xf numFmtId="172" fontId="76" fillId="10" borderId="0" xfId="20" applyNumberFormat="1" applyFont="1" applyFill="1" applyBorder="1" applyAlignment="1" applyProtection="1">
      <alignment horizontal="right"/>
      <protection locked="0"/>
    </xf>
    <xf numFmtId="166" fontId="76" fillId="10" borderId="0" xfId="1" applyNumberFormat="1" applyFont="1" applyFill="1" applyBorder="1"/>
    <xf numFmtId="37" fontId="76" fillId="10" borderId="0" xfId="0" applyNumberFormat="1" applyFont="1" applyFill="1" applyBorder="1" applyProtection="1">
      <protection locked="0"/>
    </xf>
    <xf numFmtId="166" fontId="76" fillId="10" borderId="0" xfId="3" applyNumberFormat="1" applyFont="1" applyFill="1" applyBorder="1"/>
    <xf numFmtId="183" fontId="76" fillId="10" borderId="0" xfId="0" applyNumberFormat="1" applyFont="1" applyFill="1" applyBorder="1" applyProtection="1">
      <protection locked="0"/>
    </xf>
    <xf numFmtId="185" fontId="76" fillId="10" borderId="0" xfId="1" applyNumberFormat="1" applyFont="1" applyFill="1" applyBorder="1" applyProtection="1">
      <protection locked="0"/>
    </xf>
    <xf numFmtId="170" fontId="76" fillId="10" borderId="0" xfId="5" applyNumberFormat="1" applyFont="1" applyFill="1" applyBorder="1"/>
    <xf numFmtId="172" fontId="76" fillId="10" borderId="0" xfId="20" applyNumberFormat="1" applyFont="1" applyFill="1" applyBorder="1" applyAlignment="1">
      <alignment horizontal="right"/>
    </xf>
    <xf numFmtId="170" fontId="76" fillId="10" borderId="0" xfId="0" applyNumberFormat="1" applyFont="1" applyFill="1" applyBorder="1" applyProtection="1">
      <protection locked="0"/>
    </xf>
    <xf numFmtId="42" fontId="107" fillId="10" borderId="0" xfId="1" applyNumberFormat="1" applyFont="1" applyFill="1" applyBorder="1"/>
    <xf numFmtId="166" fontId="107" fillId="10" borderId="0" xfId="1" applyNumberFormat="1" applyFont="1" applyFill="1" applyBorder="1"/>
    <xf numFmtId="168" fontId="76" fillId="10" borderId="10" xfId="3" applyNumberFormat="1" applyFont="1" applyFill="1" applyBorder="1" applyAlignment="1">
      <alignment horizontal="center"/>
    </xf>
    <xf numFmtId="166" fontId="100" fillId="10" borderId="0" xfId="1" applyNumberFormat="1" applyFont="1" applyFill="1" applyBorder="1" applyProtection="1">
      <protection locked="0"/>
    </xf>
    <xf numFmtId="0" fontId="100" fillId="10" borderId="0" xfId="0" applyFont="1" applyFill="1" applyBorder="1" applyProtection="1">
      <protection locked="0"/>
    </xf>
    <xf numFmtId="168" fontId="76" fillId="10" borderId="0" xfId="0" applyNumberFormat="1" applyFont="1" applyFill="1" applyBorder="1" applyAlignment="1" applyProtection="1">
      <alignment horizontal="center"/>
      <protection locked="0"/>
    </xf>
    <xf numFmtId="14" fontId="3" fillId="10" borderId="0" xfId="0" applyNumberFormat="1" applyFont="1" applyFill="1" applyAlignment="1" applyProtection="1">
      <alignment horizontal="center"/>
      <protection locked="0"/>
    </xf>
    <xf numFmtId="37" fontId="4" fillId="10" borderId="0" xfId="1" applyNumberFormat="1" applyFont="1" applyFill="1" applyAlignment="1" applyProtection="1">
      <alignment horizontal="center"/>
      <protection locked="0"/>
    </xf>
    <xf numFmtId="3" fontId="4" fillId="10" borderId="0" xfId="1" applyNumberFormat="1" applyFont="1" applyFill="1" applyAlignment="1" applyProtection="1">
      <alignment horizontal="center"/>
      <protection locked="0"/>
    </xf>
    <xf numFmtId="41" fontId="3" fillId="10" borderId="26" xfId="11" applyNumberFormat="1" applyFont="1" applyFill="1" applyBorder="1" applyAlignment="1">
      <alignment vertical="top"/>
    </xf>
    <xf numFmtId="0" fontId="4" fillId="0" borderId="0" xfId="0" applyFont="1" applyFill="1" applyAlignment="1">
      <alignment horizontal="left" vertical="top" wrapText="1"/>
    </xf>
    <xf numFmtId="0" fontId="8" fillId="0" borderId="0" xfId="0" applyFont="1" applyFill="1" applyAlignment="1">
      <alignment horizontal="center"/>
    </xf>
    <xf numFmtId="0" fontId="16" fillId="0" borderId="0" xfId="0" applyFont="1" applyFill="1" applyAlignment="1">
      <alignment horizontal="center"/>
    </xf>
    <xf numFmtId="0" fontId="4" fillId="0" borderId="0" xfId="0" applyFont="1" applyFill="1" applyAlignment="1">
      <alignment vertical="center" wrapText="1"/>
    </xf>
    <xf numFmtId="0" fontId="0" fillId="0" borderId="0" xfId="0" applyFill="1" applyAlignment="1">
      <alignment vertical="center" wrapText="1"/>
    </xf>
    <xf numFmtId="0" fontId="4" fillId="0" borderId="0" xfId="0" applyFont="1" applyFill="1" applyAlignment="1">
      <alignment horizontal="center"/>
    </xf>
    <xf numFmtId="0" fontId="9" fillId="0" borderId="0" xfId="0" applyFont="1" applyFill="1" applyAlignment="1">
      <alignment horizontal="center"/>
    </xf>
    <xf numFmtId="0" fontId="0" fillId="0" borderId="0" xfId="0" applyFill="1" applyAlignment="1">
      <alignment vertical="top" wrapText="1"/>
    </xf>
    <xf numFmtId="0" fontId="4" fillId="0" borderId="0" xfId="0" applyFont="1" applyFill="1" applyAlignment="1">
      <alignment horizontal="left" wrapText="1"/>
    </xf>
    <xf numFmtId="0" fontId="12" fillId="0" borderId="0" xfId="0" applyFont="1" applyFill="1" applyAlignment="1">
      <alignment horizontal="center"/>
    </xf>
    <xf numFmtId="188" fontId="8" fillId="0" borderId="0" xfId="17" applyFont="1" applyAlignment="1" applyProtection="1">
      <alignment horizontal="center"/>
    </xf>
    <xf numFmtId="188" fontId="44" fillId="0" borderId="0" xfId="17" applyFont="1" applyFill="1" applyAlignment="1" applyProtection="1">
      <alignment horizontal="center"/>
    </xf>
    <xf numFmtId="0" fontId="44" fillId="0" borderId="0" xfId="0" applyNumberFormat="1" applyFont="1" applyFill="1" applyAlignment="1" applyProtection="1">
      <alignment horizontal="center"/>
    </xf>
    <xf numFmtId="0" fontId="8" fillId="0" borderId="0" xfId="0" applyFont="1" applyAlignment="1">
      <alignment horizontal="center"/>
    </xf>
    <xf numFmtId="0" fontId="13" fillId="0" borderId="0" xfId="0" applyFont="1" applyAlignment="1">
      <alignment horizontal="center"/>
    </xf>
    <xf numFmtId="0" fontId="54" fillId="10" borderId="0" xfId="0" applyFont="1" applyFill="1" applyAlignment="1" applyProtection="1">
      <alignment horizontal="center"/>
      <protection locked="0"/>
    </xf>
    <xf numFmtId="0" fontId="55" fillId="10" borderId="0" xfId="0" applyFont="1" applyFill="1" applyAlignment="1" applyProtection="1">
      <alignment horizontal="center"/>
      <protection locked="0"/>
    </xf>
    <xf numFmtId="0" fontId="54" fillId="0" borderId="0" xfId="0" applyFont="1" applyAlignment="1">
      <alignment horizontal="center"/>
    </xf>
    <xf numFmtId="0" fontId="55" fillId="0" borderId="0" xfId="0" applyFont="1" applyAlignment="1">
      <alignment horizontal="center"/>
    </xf>
    <xf numFmtId="0" fontId="8" fillId="0" borderId="0" xfId="0" applyFont="1" applyAlignment="1" applyProtection="1">
      <alignment horizontal="center"/>
    </xf>
    <xf numFmtId="0" fontId="16" fillId="0" borderId="0" xfId="0" applyFont="1" applyAlignment="1" applyProtection="1"/>
    <xf numFmtId="0" fontId="5" fillId="0" borderId="20" xfId="0" applyFont="1" applyBorder="1" applyAlignment="1" applyProtection="1">
      <alignment horizontal="center"/>
    </xf>
    <xf numFmtId="0" fontId="9" fillId="0" borderId="12" xfId="0" applyFont="1" applyBorder="1" applyAlignment="1" applyProtection="1"/>
    <xf numFmtId="0" fontId="9" fillId="0" borderId="7" xfId="0" applyFont="1" applyBorder="1" applyAlignment="1" applyProtection="1"/>
    <xf numFmtId="0" fontId="54" fillId="0" borderId="0" xfId="0" applyFont="1" applyAlignment="1" applyProtection="1">
      <alignment horizontal="center"/>
      <protection locked="0"/>
    </xf>
    <xf numFmtId="0" fontId="55" fillId="0" borderId="0" xfId="0" applyFont="1" applyAlignment="1" applyProtection="1">
      <protection locked="0"/>
    </xf>
    <xf numFmtId="0" fontId="10" fillId="0" borderId="0" xfId="0" applyFont="1" applyFill="1" applyAlignment="1" applyProtection="1">
      <alignment vertical="top" wrapText="1"/>
    </xf>
    <xf numFmtId="0" fontId="0" fillId="0" borderId="0" xfId="0" applyFill="1" applyAlignment="1" applyProtection="1">
      <alignment vertical="top" wrapText="1"/>
    </xf>
    <xf numFmtId="0" fontId="10" fillId="0" borderId="0" xfId="0" applyFont="1" applyBorder="1" applyAlignment="1" applyProtection="1">
      <alignment vertical="top" wrapText="1"/>
    </xf>
    <xf numFmtId="0" fontId="18" fillId="0" borderId="0" xfId="0" applyFont="1" applyAlignment="1" applyProtection="1">
      <alignment vertical="top" wrapText="1"/>
    </xf>
    <xf numFmtId="0" fontId="42" fillId="0" borderId="0" xfId="0" applyFont="1" applyAlignment="1" applyProtection="1">
      <alignment horizontal="center"/>
    </xf>
    <xf numFmtId="0" fontId="43" fillId="0" borderId="0" xfId="0" applyFont="1" applyAlignment="1" applyProtection="1"/>
    <xf numFmtId="37" fontId="42" fillId="0" borderId="0" xfId="0" applyNumberFormat="1" applyFont="1" applyAlignment="1" applyProtection="1">
      <alignment horizontal="center"/>
    </xf>
    <xf numFmtId="0" fontId="46" fillId="0" borderId="0" xfId="0" applyFont="1" applyAlignment="1" applyProtection="1">
      <alignment horizontal="center"/>
    </xf>
    <xf numFmtId="37" fontId="44" fillId="0" borderId="0" xfId="0" applyNumberFormat="1" applyFont="1" applyAlignment="1" applyProtection="1">
      <alignment horizontal="center"/>
    </xf>
    <xf numFmtId="0" fontId="16" fillId="0" borderId="0" xfId="0" applyFont="1" applyAlignment="1" applyProtection="1">
      <alignment horizontal="center"/>
    </xf>
    <xf numFmtId="0" fontId="56" fillId="0" borderId="0" xfId="0" applyFont="1" applyAlignment="1" applyProtection="1">
      <alignment horizontal="center"/>
      <protection locked="0"/>
    </xf>
    <xf numFmtId="0" fontId="57" fillId="0" borderId="0" xfId="0" applyFont="1" applyAlignment="1" applyProtection="1">
      <protection locked="0"/>
    </xf>
    <xf numFmtId="0" fontId="8" fillId="0" borderId="3" xfId="0" applyFont="1" applyFill="1" applyBorder="1" applyAlignment="1" applyProtection="1">
      <alignment horizontal="center"/>
    </xf>
    <xf numFmtId="0" fontId="0" fillId="0" borderId="4" xfId="0" applyFill="1" applyBorder="1" applyAlignment="1" applyProtection="1">
      <alignment horizontal="center"/>
    </xf>
    <xf numFmtId="0" fontId="0" fillId="0" borderId="13" xfId="0" applyFill="1" applyBorder="1" applyAlignment="1" applyProtection="1">
      <alignment horizontal="center"/>
    </xf>
    <xf numFmtId="37" fontId="4" fillId="0" borderId="0" xfId="0" applyNumberFormat="1" applyFont="1" applyFill="1" applyAlignment="1" applyProtection="1">
      <alignment horizontal="left" vertical="top" wrapText="1"/>
    </xf>
    <xf numFmtId="0" fontId="56" fillId="0" borderId="0" xfId="0" applyFont="1" applyAlignment="1" applyProtection="1">
      <alignment horizontal="center"/>
    </xf>
    <xf numFmtId="0" fontId="57" fillId="0" borderId="0" xfId="0" applyFont="1" applyAlignment="1" applyProtection="1">
      <alignment horizontal="center"/>
    </xf>
    <xf numFmtId="0" fontId="8" fillId="0" borderId="3" xfId="0" applyFont="1" applyBorder="1" applyAlignment="1" applyProtection="1">
      <alignment horizontal="center"/>
    </xf>
    <xf numFmtId="0" fontId="0" fillId="0" borderId="4" xfId="0" applyBorder="1" applyAlignment="1" applyProtection="1">
      <alignment horizontal="center"/>
    </xf>
    <xf numFmtId="0" fontId="0" fillId="0" borderId="13" xfId="0" applyBorder="1" applyAlignment="1" applyProtection="1">
      <alignment horizontal="center"/>
    </xf>
    <xf numFmtId="0" fontId="42" fillId="0" borderId="0" xfId="0" applyFont="1" applyAlignment="1">
      <alignment horizontal="center"/>
    </xf>
    <xf numFmtId="0" fontId="56" fillId="0" borderId="0" xfId="0" applyFont="1" applyAlignment="1">
      <alignment horizontal="center"/>
    </xf>
    <xf numFmtId="0" fontId="8" fillId="0" borderId="3" xfId="0" applyFont="1" applyBorder="1" applyAlignment="1">
      <alignment horizontal="center"/>
    </xf>
    <xf numFmtId="0" fontId="13" fillId="0" borderId="4" xfId="0" applyFont="1" applyBorder="1" applyAlignment="1">
      <alignment horizontal="center"/>
    </xf>
    <xf numFmtId="0" fontId="13" fillId="0" borderId="13" xfId="0" applyFont="1" applyBorder="1" applyAlignment="1">
      <alignment horizontal="center"/>
    </xf>
    <xf numFmtId="169" fontId="4" fillId="0" borderId="0" xfId="0" applyNumberFormat="1" applyFont="1" applyAlignment="1">
      <alignment horizontal="left" wrapText="1"/>
    </xf>
    <xf numFmtId="164" fontId="42" fillId="0" borderId="0" xfId="11" applyNumberFormat="1" applyFont="1" applyFill="1" applyAlignment="1" applyProtection="1">
      <alignment horizontal="center" vertical="top"/>
    </xf>
    <xf numFmtId="0" fontId="42" fillId="0" borderId="0" xfId="0" applyFont="1" applyFill="1" applyAlignment="1" applyProtection="1">
      <alignment horizontal="center" vertical="top"/>
    </xf>
    <xf numFmtId="164" fontId="56" fillId="0" borderId="0" xfId="11" applyNumberFormat="1" applyFont="1" applyFill="1" applyAlignment="1" applyProtection="1">
      <alignment horizontal="center" vertical="top"/>
    </xf>
    <xf numFmtId="0" fontId="56" fillId="0" borderId="0" xfId="0" applyFont="1" applyFill="1" applyAlignment="1" applyProtection="1">
      <alignment horizontal="center" vertical="top"/>
    </xf>
    <xf numFmtId="164" fontId="42" fillId="0" borderId="0" xfId="11" applyNumberFormat="1" applyFont="1" applyAlignment="1" applyProtection="1">
      <alignment horizontal="center" vertical="top"/>
    </xf>
    <xf numFmtId="0" fontId="42" fillId="0" borderId="0" xfId="0" applyFont="1" applyAlignment="1" applyProtection="1">
      <alignment horizontal="center" vertical="top"/>
    </xf>
    <xf numFmtId="164" fontId="56" fillId="0" borderId="0" xfId="11" applyNumberFormat="1" applyFont="1" applyAlignment="1" applyProtection="1">
      <alignment horizontal="center" vertical="top"/>
    </xf>
    <xf numFmtId="0" fontId="56" fillId="0" borderId="0" xfId="0" applyFont="1" applyAlignment="1" applyProtection="1">
      <alignment horizontal="center" vertical="top"/>
    </xf>
    <xf numFmtId="164" fontId="42" fillId="0" borderId="25" xfId="11" applyNumberFormat="1" applyFont="1" applyBorder="1" applyAlignment="1" applyProtection="1">
      <alignment horizontal="center" vertical="top"/>
    </xf>
    <xf numFmtId="0" fontId="42" fillId="0" borderId="0" xfId="0" applyFont="1" applyAlignment="1" applyProtection="1">
      <alignment horizontal="center" vertical="center" wrapText="1"/>
    </xf>
    <xf numFmtId="0" fontId="0" fillId="0" borderId="0" xfId="0" applyAlignment="1" applyProtection="1">
      <alignment horizontal="center"/>
    </xf>
    <xf numFmtId="0" fontId="3" fillId="0" borderId="0" xfId="0" applyFont="1" applyFill="1" applyBorder="1" applyAlignment="1">
      <alignment horizontal="center"/>
    </xf>
    <xf numFmtId="0" fontId="46" fillId="0" borderId="0" xfId="0" applyFont="1" applyAlignment="1" applyProtection="1">
      <alignment horizontal="center" vertical="center" wrapText="1"/>
    </xf>
    <xf numFmtId="0" fontId="45" fillId="0" borderId="0" xfId="0" applyFont="1" applyAlignment="1" applyProtection="1">
      <alignment horizontal="left" vertical="top" wrapText="1"/>
    </xf>
    <xf numFmtId="0" fontId="57" fillId="0" borderId="0" xfId="0" applyFont="1" applyAlignment="1" applyProtection="1"/>
    <xf numFmtId="0" fontId="42" fillId="0" borderId="0" xfId="11" applyFont="1" applyFill="1" applyAlignment="1" applyProtection="1">
      <alignment horizontal="center"/>
    </xf>
    <xf numFmtId="0" fontId="43" fillId="0" borderId="0" xfId="0" applyFont="1" applyFill="1" applyAlignment="1" applyProtection="1"/>
    <xf numFmtId="0" fontId="56" fillId="0" borderId="0" xfId="11" applyFont="1" applyFill="1" applyAlignment="1" applyProtection="1">
      <alignment horizontal="center"/>
    </xf>
    <xf numFmtId="0" fontId="19" fillId="0" borderId="0" xfId="11" applyFont="1" applyFill="1" applyBorder="1" applyAlignment="1">
      <alignment horizontal="center"/>
    </xf>
    <xf numFmtId="0" fontId="19" fillId="0" borderId="1" xfId="11" applyFont="1" applyFill="1" applyBorder="1" applyAlignment="1">
      <alignment horizontal="center"/>
    </xf>
    <xf numFmtId="0" fontId="21" fillId="0" borderId="1" xfId="0" applyFont="1" applyBorder="1" applyAlignment="1">
      <alignment horizontal="center"/>
    </xf>
    <xf numFmtId="0" fontId="42" fillId="0" borderId="0" xfId="11" applyFont="1" applyFill="1" applyAlignment="1">
      <alignment horizontal="center" vertical="center" wrapText="1"/>
    </xf>
    <xf numFmtId="0" fontId="43" fillId="0" borderId="0" xfId="0" applyFont="1" applyAlignment="1">
      <alignment vertical="center" wrapText="1"/>
    </xf>
    <xf numFmtId="0" fontId="56" fillId="0" borderId="0" xfId="11" applyFont="1" applyFill="1" applyAlignment="1">
      <alignment horizontal="center"/>
    </xf>
    <xf numFmtId="0" fontId="42" fillId="0" borderId="0" xfId="11" applyFont="1" applyFill="1" applyAlignment="1">
      <alignment horizontal="center"/>
    </xf>
    <xf numFmtId="0" fontId="43" fillId="0" borderId="0" xfId="0" applyFont="1" applyFill="1" applyAlignment="1"/>
    <xf numFmtId="0" fontId="77" fillId="10" borderId="0" xfId="0" quotePrefix="1" applyFont="1" applyFill="1" applyAlignment="1" applyProtection="1">
      <alignment horizontal="left" vertical="top" wrapText="1"/>
      <protection locked="0"/>
    </xf>
    <xf numFmtId="0" fontId="0" fillId="10" borderId="0" xfId="0" applyFill="1" applyAlignment="1">
      <alignment vertical="top"/>
    </xf>
    <xf numFmtId="0" fontId="77" fillId="10" borderId="0" xfId="0" applyFont="1" applyFill="1" applyAlignment="1" applyProtection="1">
      <alignment horizontal="left" vertical="top" wrapText="1"/>
      <protection locked="0"/>
    </xf>
    <xf numFmtId="0" fontId="0" fillId="10" borderId="0" xfId="0" applyFill="1" applyAlignment="1">
      <alignment vertical="top" wrapText="1"/>
    </xf>
    <xf numFmtId="8" fontId="77" fillId="10" borderId="0" xfId="0" quotePrefix="1" applyNumberFormat="1" applyFont="1" applyFill="1" applyAlignment="1" applyProtection="1">
      <alignment horizontal="left" vertical="top" wrapText="1"/>
      <protection locked="0"/>
    </xf>
    <xf numFmtId="3" fontId="42" fillId="0" borderId="0" xfId="0" applyNumberFormat="1" applyFont="1" applyAlignment="1" applyProtection="1">
      <alignment horizontal="center"/>
    </xf>
    <xf numFmtId="3" fontId="56" fillId="0" borderId="0" xfId="0" applyNumberFormat="1" applyFont="1" applyAlignment="1" applyProtection="1">
      <alignment horizontal="center"/>
    </xf>
    <xf numFmtId="3" fontId="4" fillId="0" borderId="0" xfId="0" applyNumberFormat="1" applyFont="1" applyAlignment="1" applyProtection="1"/>
    <xf numFmtId="0" fontId="64" fillId="0" borderId="0" xfId="0" applyNumberFormat="1" applyFont="1" applyBorder="1" applyAlignment="1">
      <alignment horizontal="center"/>
    </xf>
    <xf numFmtId="0" fontId="20" fillId="0" borderId="0" xfId="0" applyFont="1" applyBorder="1" applyAlignment="1">
      <alignment horizontal="center"/>
    </xf>
    <xf numFmtId="0" fontId="0" fillId="0" borderId="0" xfId="0" applyAlignment="1"/>
    <xf numFmtId="0" fontId="57" fillId="0" borderId="0" xfId="0" applyFont="1" applyAlignment="1"/>
    <xf numFmtId="2" fontId="5" fillId="0" borderId="0" xfId="0" applyNumberFormat="1" applyFont="1" applyFill="1" applyAlignment="1">
      <alignment horizontal="center"/>
    </xf>
    <xf numFmtId="0" fontId="20" fillId="0" borderId="0" xfId="0" applyFont="1" applyFill="1" applyAlignment="1">
      <alignment horizontal="center"/>
    </xf>
    <xf numFmtId="0" fontId="5" fillId="0" borderId="0" xfId="0" applyNumberFormat="1" applyFont="1" applyBorder="1" applyAlignment="1">
      <alignment horizontal="center"/>
    </xf>
    <xf numFmtId="0" fontId="5" fillId="0" borderId="0" xfId="0" applyFont="1" applyBorder="1" applyAlignment="1">
      <alignment horizontal="center"/>
    </xf>
    <xf numFmtId="0" fontId="4" fillId="0" borderId="1" xfId="0" applyNumberFormat="1" applyFont="1" applyFill="1" applyBorder="1" applyAlignment="1">
      <alignment horizontal="center"/>
    </xf>
    <xf numFmtId="0" fontId="0" fillId="0" borderId="1" xfId="0" applyFill="1" applyBorder="1" applyAlignment="1">
      <alignment horizontal="center"/>
    </xf>
    <xf numFmtId="0" fontId="4" fillId="0" borderId="0" xfId="0" applyNumberFormat="1" applyFont="1" applyBorder="1" applyAlignment="1">
      <alignment horizontal="center"/>
    </xf>
    <xf numFmtId="0" fontId="0" fillId="0" borderId="0" xfId="0" applyBorder="1" applyAlignment="1">
      <alignment horizontal="center"/>
    </xf>
    <xf numFmtId="0" fontId="10" fillId="0" borderId="0" xfId="0" applyNumberFormat="1" applyFont="1" applyFill="1" applyAlignment="1">
      <alignment vertical="top" wrapText="1"/>
    </xf>
    <xf numFmtId="0" fontId="0" fillId="0" borderId="0" xfId="0" applyAlignment="1">
      <alignment vertical="top" wrapText="1"/>
    </xf>
    <xf numFmtId="0" fontId="50" fillId="0" borderId="0" xfId="0" applyFont="1" applyAlignment="1">
      <alignment horizontal="center"/>
    </xf>
    <xf numFmtId="0" fontId="18" fillId="0" borderId="0" xfId="0" applyFont="1" applyAlignment="1">
      <alignment horizontal="center"/>
    </xf>
    <xf numFmtId="0" fontId="42" fillId="0" borderId="0" xfId="0" applyFont="1" applyAlignment="1" applyProtection="1">
      <alignment horizontal="center" wrapText="1"/>
    </xf>
    <xf numFmtId="0" fontId="4" fillId="0" borderId="0" xfId="0" applyFont="1" applyAlignment="1" applyProtection="1"/>
    <xf numFmtId="0" fontId="18" fillId="0" borderId="0" xfId="0" applyFont="1" applyAlignment="1" applyProtection="1"/>
    <xf numFmtId="0" fontId="18" fillId="0" borderId="12" xfId="0" applyFont="1" applyBorder="1" applyAlignment="1" applyProtection="1">
      <alignment horizontal="center"/>
    </xf>
    <xf numFmtId="0" fontId="50" fillId="0" borderId="0" xfId="0" applyFont="1" applyAlignment="1" applyProtection="1">
      <alignment horizontal="center"/>
    </xf>
    <xf numFmtId="0" fontId="4" fillId="0" borderId="1" xfId="0" applyFont="1" applyBorder="1" applyAlignment="1" applyProtection="1">
      <alignment horizontal="center"/>
    </xf>
    <xf numFmtId="0" fontId="4" fillId="0" borderId="2" xfId="0" applyFont="1" applyBorder="1" applyAlignment="1" applyProtection="1">
      <alignment horizontal="center"/>
    </xf>
    <xf numFmtId="0" fontId="4" fillId="0" borderId="0" xfId="0" applyFont="1" applyFill="1" applyAlignment="1" applyProtection="1">
      <alignment wrapText="1"/>
    </xf>
    <xf numFmtId="0" fontId="18" fillId="0" borderId="0" xfId="0" applyFont="1" applyFill="1" applyAlignment="1" applyProtection="1"/>
    <xf numFmtId="0" fontId="42" fillId="0" borderId="0" xfId="0" applyFont="1" applyFill="1" applyAlignment="1" applyProtection="1">
      <alignment horizontal="center"/>
    </xf>
    <xf numFmtId="0" fontId="90" fillId="0" borderId="0" xfId="0" applyFont="1" applyFill="1" applyAlignment="1" applyProtection="1">
      <alignment horizontal="center"/>
    </xf>
    <xf numFmtId="0" fontId="57" fillId="0" borderId="0" xfId="0" applyFont="1" applyAlignment="1">
      <alignment horizontal="center"/>
    </xf>
    <xf numFmtId="0" fontId="4" fillId="0" borderId="0" xfId="0" applyFont="1" applyFill="1" applyAlignment="1">
      <alignment wrapText="1"/>
    </xf>
    <xf numFmtId="0" fontId="18" fillId="0" borderId="0" xfId="0" applyFont="1" applyFill="1" applyAlignment="1"/>
    <xf numFmtId="0" fontId="44" fillId="0" borderId="0" xfId="0" applyFont="1" applyAlignment="1" applyProtection="1">
      <alignment horizontal="center"/>
    </xf>
    <xf numFmtId="2" fontId="4" fillId="0" borderId="1" xfId="0" applyNumberFormat="1" applyFont="1" applyBorder="1" applyAlignment="1">
      <alignment horizontal="center"/>
    </xf>
    <xf numFmtId="0" fontId="4" fillId="0" borderId="1" xfId="0" applyFont="1" applyBorder="1" applyAlignment="1">
      <alignment horizontal="center"/>
    </xf>
    <xf numFmtId="0" fontId="42" fillId="0" borderId="0" xfId="0" applyFont="1" applyAlignment="1">
      <alignment horizontal="center" vertical="center" wrapText="1"/>
    </xf>
    <xf numFmtId="0" fontId="50" fillId="0" borderId="0" xfId="0" applyFont="1" applyAlignment="1">
      <alignment horizontal="center" vertical="center" wrapText="1"/>
    </xf>
    <xf numFmtId="0" fontId="90" fillId="0" borderId="0" xfId="0" applyFont="1" applyFill="1" applyAlignment="1">
      <alignment horizontal="center"/>
    </xf>
    <xf numFmtId="0" fontId="4" fillId="0" borderId="3" xfId="0" applyFont="1" applyBorder="1" applyAlignment="1" applyProtection="1">
      <alignment horizontal="center"/>
    </xf>
    <xf numFmtId="0" fontId="4" fillId="0" borderId="13" xfId="0" applyFont="1" applyBorder="1" applyAlignment="1" applyProtection="1">
      <alignment horizontal="center"/>
    </xf>
    <xf numFmtId="0" fontId="12" fillId="0" borderId="0" xfId="0" applyFont="1" applyAlignment="1" applyProtection="1">
      <alignment horizontal="center"/>
    </xf>
    <xf numFmtId="0" fontId="22" fillId="0" borderId="0" xfId="0" applyFont="1" applyAlignment="1" applyProtection="1">
      <alignment horizontal="center"/>
    </xf>
    <xf numFmtId="0" fontId="51" fillId="0" borderId="0" xfId="0" applyFont="1" applyAlignment="1" applyProtection="1">
      <alignment horizontal="center"/>
    </xf>
    <xf numFmtId="3" fontId="44" fillId="0" borderId="0" xfId="0" applyNumberFormat="1" applyFont="1" applyAlignment="1" applyProtection="1">
      <alignment horizontal="center"/>
    </xf>
  </cellXfs>
  <cellStyles count="28">
    <cellStyle name="Comma" xfId="1" builtinId="3"/>
    <cellStyle name="Comma [0] 2" xfId="25" xr:uid="{7B85E122-CDD7-4CF4-9B37-056990B13265}"/>
    <cellStyle name="Comma 2" xfId="2" xr:uid="{00000000-0005-0000-0000-000001000000}"/>
    <cellStyle name="Comma 3" xfId="3" xr:uid="{00000000-0005-0000-0000-000002000000}"/>
    <cellStyle name="Comma 3 2" xfId="4" xr:uid="{00000000-0005-0000-0000-000003000000}"/>
    <cellStyle name="Currency" xfId="5" builtinId="4"/>
    <cellStyle name="Currency 2" xfId="6" xr:uid="{00000000-0005-0000-0000-000005000000}"/>
    <cellStyle name="Currency 2 2" xfId="7" xr:uid="{00000000-0005-0000-0000-000006000000}"/>
    <cellStyle name="Currency 3" xfId="8" xr:uid="{00000000-0005-0000-0000-000007000000}"/>
    <cellStyle name="Normal" xfId="0" builtinId="0"/>
    <cellStyle name="Normal 2" xfId="9" xr:uid="{00000000-0005-0000-0000-000009000000}"/>
    <cellStyle name="Normal 3" xfId="10" xr:uid="{00000000-0005-0000-0000-00000A000000}"/>
    <cellStyle name="Normal_ADITAnalysisID090805" xfId="11" xr:uid="{00000000-0005-0000-0000-00000B000000}"/>
    <cellStyle name="Normal_ADITAnalysisID090805 2" xfId="12" xr:uid="{00000000-0005-0000-0000-00000C000000}"/>
    <cellStyle name="Normal_ADITAnalysisID090805 2 2" xfId="26" xr:uid="{3236A1F4-F176-4EA7-9BBA-8CE282EAF115}"/>
    <cellStyle name="Normal_ADITAnalysisID090805 3" xfId="13" xr:uid="{00000000-0005-0000-0000-00000D000000}"/>
    <cellStyle name="Normal_ADITAnalysisID090805 3 2" xfId="27" xr:uid="{6AAE68A3-08FF-491F-BEB5-CA38E671A274}"/>
    <cellStyle name="Normal_ADITAnalysisID090805 4" xfId="14" xr:uid="{00000000-0005-0000-0000-00000E000000}"/>
    <cellStyle name="Normal_KPL Access" xfId="15" xr:uid="{00000000-0005-0000-0000-00000F000000}"/>
    <cellStyle name="Normal_Sheet1" xfId="16" xr:uid="{00000000-0005-0000-0000-000010000000}"/>
    <cellStyle name="Normal_SP ANCILLARIES_9-10(clean 9-19)(a)" xfId="17" xr:uid="{00000000-0005-0000-0000-000011000000}"/>
    <cellStyle name="Normal_Wrksht. A, Other Rate Base WEN" xfId="18" xr:uid="{00000000-0005-0000-0000-000012000000}"/>
    <cellStyle name="Normal_Wrksht. B, Other Rate Base WES" xfId="19" xr:uid="{00000000-0005-0000-0000-000013000000}"/>
    <cellStyle name="Percent" xfId="20" builtinId="5"/>
    <cellStyle name="Percent 2" xfId="21" xr:uid="{00000000-0005-0000-0000-000015000000}"/>
    <cellStyle name="Percent 2 2" xfId="22" xr:uid="{00000000-0005-0000-0000-000016000000}"/>
    <cellStyle name="Percent 3" xfId="23" xr:uid="{00000000-0005-0000-0000-000017000000}"/>
    <cellStyle name="Percent 4" xfId="24" xr:uid="{00000000-0005-0000-0000-000018000000}"/>
  </cellStyles>
  <dxfs count="0"/>
  <tableStyles count="0" defaultTableStyle="TableStyleMedium9" defaultPivotStyle="PivotStyleLight16"/>
  <colors>
    <mruColors>
      <color rgb="FFB8CCE4"/>
      <color rgb="FFC5D9F1"/>
      <color rgb="FFCCF4CC"/>
      <color rgb="FFCCFFCC"/>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H51"/>
  <sheetViews>
    <sheetView view="pageBreakPreview" zoomScale="90" zoomScaleNormal="75" zoomScaleSheetLayoutView="90" workbookViewId="0">
      <selection sqref="A1:F1"/>
    </sheetView>
  </sheetViews>
  <sheetFormatPr defaultColWidth="9.109375" defaultRowHeight="13.2"/>
  <cols>
    <col min="1" max="1" width="10.6640625" style="378" customWidth="1"/>
    <col min="2" max="5" width="22.6640625" style="378" customWidth="1"/>
    <col min="6" max="6" width="10.6640625" style="378" customWidth="1"/>
    <col min="7" max="16384" width="9.109375" style="378"/>
  </cols>
  <sheetData>
    <row r="1" spans="1:8" ht="17.399999999999999">
      <c r="A1" s="1684" t="s">
        <v>744</v>
      </c>
      <c r="B1" s="1685"/>
      <c r="C1" s="1685"/>
      <c r="D1" s="1685"/>
      <c r="E1" s="1685"/>
      <c r="F1" s="1685"/>
    </row>
    <row r="2" spans="1:8" ht="15.6">
      <c r="A2" s="1688" t="str">
        <f>' Net Monthly Bill'!A2:B2</f>
        <v>For Contract Year Beginning June 1, 2024, Based on 2023 Data</v>
      </c>
      <c r="B2" s="1689"/>
      <c r="C2" s="1689"/>
      <c r="D2" s="1689"/>
      <c r="E2" s="1689"/>
      <c r="F2" s="1689"/>
    </row>
    <row r="4" spans="1:8" ht="15.6">
      <c r="A4" s="424"/>
      <c r="F4" s="355" t="s">
        <v>878</v>
      </c>
    </row>
    <row r="5" spans="1:8" ht="15.6">
      <c r="A5" s="355" t="s">
        <v>995</v>
      </c>
      <c r="B5" s="163"/>
      <c r="C5" s="1688"/>
      <c r="D5" s="1688"/>
      <c r="E5" s="163"/>
      <c r="F5" s="355" t="s">
        <v>879</v>
      </c>
      <c r="G5" s="163"/>
      <c r="H5" s="163"/>
    </row>
    <row r="6" spans="1:8" ht="15.6">
      <c r="A6" s="322" t="s">
        <v>996</v>
      </c>
      <c r="B6" s="163"/>
      <c r="C6" s="1692" t="s">
        <v>549</v>
      </c>
      <c r="D6" s="1692"/>
      <c r="E6" s="163"/>
      <c r="F6" s="322" t="s">
        <v>996</v>
      </c>
      <c r="G6" s="163"/>
      <c r="H6" s="163"/>
    </row>
    <row r="7" spans="1:8" ht="15.6">
      <c r="A7" s="355"/>
      <c r="B7" s="163"/>
      <c r="C7" s="163"/>
      <c r="D7" s="163"/>
      <c r="E7" s="163"/>
      <c r="F7" s="163"/>
      <c r="G7" s="163"/>
      <c r="H7" s="163"/>
    </row>
    <row r="8" spans="1:8" ht="15.6">
      <c r="A8" s="425">
        <v>1</v>
      </c>
      <c r="B8" s="163" t="s">
        <v>2320</v>
      </c>
      <c r="C8" s="163"/>
      <c r="D8" s="163"/>
      <c r="E8" s="163"/>
      <c r="F8" s="482">
        <v>2</v>
      </c>
      <c r="G8" s="163"/>
      <c r="H8" s="163"/>
    </row>
    <row r="9" spans="1:8" ht="15.6">
      <c r="A9" s="425">
        <f>A8+1</f>
        <v>2</v>
      </c>
      <c r="B9" s="163" t="s">
        <v>2321</v>
      </c>
      <c r="C9" s="163"/>
      <c r="D9" s="163"/>
      <c r="E9" s="163"/>
      <c r="F9" s="482">
        <v>5</v>
      </c>
      <c r="G9" s="163"/>
      <c r="H9" s="163"/>
    </row>
    <row r="10" spans="1:8" ht="15.6">
      <c r="A10" s="425">
        <f t="shared" ref="A10:A46" si="0">A9+1</f>
        <v>3</v>
      </c>
      <c r="B10" s="163" t="s">
        <v>741</v>
      </c>
      <c r="C10" s="163"/>
      <c r="D10" s="163"/>
      <c r="E10" s="163"/>
      <c r="F10" s="482">
        <v>9</v>
      </c>
      <c r="G10" s="163"/>
      <c r="H10" s="163"/>
    </row>
    <row r="11" spans="1:8" ht="15.6">
      <c r="A11" s="425">
        <f t="shared" si="0"/>
        <v>4</v>
      </c>
      <c r="B11" s="163" t="s">
        <v>20</v>
      </c>
      <c r="C11" s="163"/>
      <c r="D11" s="163"/>
      <c r="E11" s="163"/>
      <c r="F11" s="482">
        <v>13</v>
      </c>
      <c r="G11" s="163"/>
      <c r="H11" s="163"/>
    </row>
    <row r="12" spans="1:8" ht="15.6">
      <c r="A12" s="425">
        <f t="shared" si="0"/>
        <v>5</v>
      </c>
      <c r="B12" s="163" t="s">
        <v>742</v>
      </c>
      <c r="C12" s="163"/>
      <c r="D12" s="163"/>
      <c r="E12" s="163"/>
      <c r="F12" s="482">
        <v>14</v>
      </c>
      <c r="G12" s="163"/>
      <c r="H12" s="163"/>
    </row>
    <row r="13" spans="1:8" ht="15.6">
      <c r="A13" s="425">
        <f t="shared" si="0"/>
        <v>6</v>
      </c>
      <c r="B13" s="163" t="s">
        <v>743</v>
      </c>
      <c r="C13" s="163"/>
      <c r="D13" s="163"/>
      <c r="E13" s="163"/>
      <c r="F13" s="482">
        <v>16</v>
      </c>
      <c r="G13" s="163"/>
      <c r="H13" s="163"/>
    </row>
    <row r="14" spans="1:8" ht="15.6">
      <c r="A14" s="425">
        <f t="shared" si="0"/>
        <v>7</v>
      </c>
      <c r="B14" s="163" t="s">
        <v>1205</v>
      </c>
      <c r="C14" s="163"/>
      <c r="D14" s="163"/>
      <c r="E14" s="163"/>
      <c r="F14" s="482">
        <v>18</v>
      </c>
      <c r="G14" s="163"/>
      <c r="H14" s="163"/>
    </row>
    <row r="15" spans="1:8" ht="15.6">
      <c r="A15" s="425">
        <f t="shared" si="0"/>
        <v>8</v>
      </c>
      <c r="B15" s="163" t="s">
        <v>1266</v>
      </c>
      <c r="C15" s="163"/>
      <c r="D15" s="163"/>
      <c r="E15" s="163"/>
      <c r="F15" s="482">
        <v>19</v>
      </c>
      <c r="G15" s="163"/>
      <c r="H15" s="163"/>
    </row>
    <row r="16" spans="1:8" ht="15.6">
      <c r="A16" s="425">
        <f t="shared" si="0"/>
        <v>9</v>
      </c>
      <c r="B16" s="426" t="s">
        <v>2980</v>
      </c>
      <c r="C16" s="163"/>
      <c r="D16" s="163"/>
      <c r="E16" s="163"/>
      <c r="F16" s="482">
        <v>20</v>
      </c>
      <c r="G16" s="163"/>
      <c r="H16" s="163"/>
    </row>
    <row r="17" spans="1:8" ht="15.6">
      <c r="A17" s="425">
        <f t="shared" si="0"/>
        <v>10</v>
      </c>
      <c r="B17" s="426" t="s">
        <v>2973</v>
      </c>
      <c r="C17" s="163"/>
      <c r="D17" s="163"/>
      <c r="E17" s="163"/>
      <c r="F17" s="482">
        <v>25</v>
      </c>
      <c r="G17" s="163"/>
      <c r="H17" s="163"/>
    </row>
    <row r="18" spans="1:8" ht="15.6">
      <c r="A18" s="425">
        <f t="shared" si="0"/>
        <v>11</v>
      </c>
      <c r="B18" s="426" t="s">
        <v>2974</v>
      </c>
      <c r="C18" s="163"/>
      <c r="D18" s="163"/>
      <c r="E18" s="163"/>
      <c r="F18" s="482">
        <v>28</v>
      </c>
      <c r="G18" s="163"/>
      <c r="H18" s="163"/>
    </row>
    <row r="19" spans="1:8" ht="15.6">
      <c r="A19" s="425">
        <f t="shared" si="0"/>
        <v>12</v>
      </c>
      <c r="B19" s="426" t="s">
        <v>2975</v>
      </c>
      <c r="C19" s="163"/>
      <c r="D19" s="163"/>
      <c r="E19" s="163"/>
      <c r="F19" s="482">
        <v>30</v>
      </c>
      <c r="G19" s="163"/>
      <c r="H19" s="163"/>
    </row>
    <row r="20" spans="1:8" ht="15.6">
      <c r="A20" s="425"/>
      <c r="B20" s="426" t="s">
        <v>2976</v>
      </c>
      <c r="C20" s="163"/>
      <c r="D20" s="163"/>
      <c r="E20" s="163"/>
      <c r="F20" s="482">
        <v>33</v>
      </c>
      <c r="G20" s="163"/>
      <c r="H20" s="163"/>
    </row>
    <row r="21" spans="1:8" ht="15.6">
      <c r="A21" s="425">
        <f>A19+1</f>
        <v>13</v>
      </c>
      <c r="B21" s="426" t="s">
        <v>2981</v>
      </c>
      <c r="C21" s="163"/>
      <c r="D21" s="163"/>
      <c r="E21" s="163"/>
      <c r="F21" s="482">
        <v>34</v>
      </c>
      <c r="G21" s="163"/>
      <c r="H21" s="163"/>
    </row>
    <row r="22" spans="1:8" ht="15.6">
      <c r="A22" s="425">
        <f t="shared" si="0"/>
        <v>14</v>
      </c>
      <c r="B22" s="426" t="s">
        <v>2982</v>
      </c>
      <c r="C22" s="163"/>
      <c r="D22" s="163"/>
      <c r="E22" s="163"/>
      <c r="F22" s="482">
        <v>41</v>
      </c>
      <c r="G22" s="163"/>
      <c r="H22" s="163"/>
    </row>
    <row r="23" spans="1:8" ht="15.6">
      <c r="A23" s="425">
        <f t="shared" si="0"/>
        <v>15</v>
      </c>
      <c r="B23" s="426" t="s">
        <v>2983</v>
      </c>
      <c r="C23" s="163"/>
      <c r="D23" s="163"/>
      <c r="E23" s="163"/>
      <c r="F23" s="482">
        <v>44</v>
      </c>
      <c r="G23" s="163"/>
      <c r="H23" s="163"/>
    </row>
    <row r="24" spans="1:8" ht="15.6">
      <c r="A24" s="425">
        <f t="shared" si="0"/>
        <v>16</v>
      </c>
      <c r="B24" s="426" t="s">
        <v>2984</v>
      </c>
      <c r="C24" s="163"/>
      <c r="D24" s="163"/>
      <c r="E24" s="163"/>
      <c r="F24" s="482">
        <v>46</v>
      </c>
      <c r="G24" s="163"/>
      <c r="H24" s="163"/>
    </row>
    <row r="25" spans="1:8" ht="15.6">
      <c r="A25" s="425"/>
      <c r="B25" s="426" t="s">
        <v>2985</v>
      </c>
      <c r="C25" s="163"/>
      <c r="D25" s="163"/>
      <c r="E25" s="163"/>
      <c r="F25" s="482">
        <v>48</v>
      </c>
      <c r="G25" s="163"/>
      <c r="H25" s="163"/>
    </row>
    <row r="26" spans="1:8" ht="15.6">
      <c r="A26" s="425">
        <f>A24+1</f>
        <v>17</v>
      </c>
      <c r="B26" s="426" t="s">
        <v>85</v>
      </c>
      <c r="C26" s="163"/>
      <c r="D26" s="163"/>
      <c r="E26" s="163"/>
      <c r="F26" s="482">
        <v>49</v>
      </c>
      <c r="G26" s="163"/>
      <c r="H26" s="163"/>
    </row>
    <row r="27" spans="1:8" s="427" customFormat="1" ht="15.75" customHeight="1">
      <c r="A27" s="425">
        <f t="shared" si="0"/>
        <v>18</v>
      </c>
      <c r="B27" s="426" t="s">
        <v>1450</v>
      </c>
      <c r="F27" s="597">
        <v>50</v>
      </c>
      <c r="G27" s="426"/>
      <c r="H27" s="426"/>
    </row>
    <row r="28" spans="1:8" s="427" customFormat="1" ht="30" customHeight="1">
      <c r="A28" s="425">
        <f t="shared" si="0"/>
        <v>19</v>
      </c>
      <c r="B28" s="1686" t="s">
        <v>1451</v>
      </c>
      <c r="C28" s="1687"/>
      <c r="D28" s="1687"/>
      <c r="E28" s="1687"/>
      <c r="F28" s="597">
        <v>52</v>
      </c>
      <c r="G28" s="426"/>
      <c r="H28" s="426"/>
    </row>
    <row r="29" spans="1:8" s="427" customFormat="1" ht="15.75" customHeight="1">
      <c r="A29" s="425">
        <f t="shared" si="0"/>
        <v>20</v>
      </c>
      <c r="B29" s="219" t="s">
        <v>2977</v>
      </c>
      <c r="F29" s="597">
        <v>53</v>
      </c>
      <c r="G29" s="426"/>
      <c r="H29" s="426"/>
    </row>
    <row r="30" spans="1:8" s="427" customFormat="1" ht="15.75" customHeight="1">
      <c r="A30" s="425">
        <f t="shared" si="0"/>
        <v>21</v>
      </c>
      <c r="B30" s="219" t="s">
        <v>2978</v>
      </c>
      <c r="F30" s="597">
        <v>72</v>
      </c>
      <c r="G30" s="426"/>
      <c r="H30" s="426"/>
    </row>
    <row r="31" spans="1:8" s="427" customFormat="1" ht="15.75" customHeight="1">
      <c r="A31" s="425">
        <f t="shared" si="0"/>
        <v>22</v>
      </c>
      <c r="B31" s="219" t="s">
        <v>2986</v>
      </c>
      <c r="C31" s="426"/>
      <c r="D31" s="426"/>
      <c r="E31" s="426"/>
      <c r="F31" s="597">
        <v>79</v>
      </c>
      <c r="G31" s="426"/>
      <c r="H31" s="426"/>
    </row>
    <row r="32" spans="1:8" s="427" customFormat="1" ht="15.75" customHeight="1">
      <c r="A32" s="425">
        <f t="shared" si="0"/>
        <v>23</v>
      </c>
      <c r="B32" s="219" t="s">
        <v>2987</v>
      </c>
      <c r="C32" s="426"/>
      <c r="D32" s="426"/>
      <c r="E32" s="426"/>
      <c r="F32" s="597">
        <v>99</v>
      </c>
      <c r="G32" s="426"/>
      <c r="H32" s="426"/>
    </row>
    <row r="33" spans="1:8" s="427" customFormat="1" ht="15.75" customHeight="1">
      <c r="A33" s="425">
        <f t="shared" si="0"/>
        <v>24</v>
      </c>
      <c r="B33" s="356" t="s">
        <v>2316</v>
      </c>
      <c r="C33" s="219"/>
      <c r="D33" s="219"/>
      <c r="E33" s="219"/>
      <c r="F33" s="597">
        <v>111</v>
      </c>
      <c r="G33" s="426"/>
      <c r="H33" s="426"/>
    </row>
    <row r="34" spans="1:8" s="427" customFormat="1" ht="15.75" customHeight="1">
      <c r="A34" s="425">
        <f t="shared" si="0"/>
        <v>25</v>
      </c>
      <c r="B34" s="1683" t="s">
        <v>2317</v>
      </c>
      <c r="C34" s="1690"/>
      <c r="D34" s="1690"/>
      <c r="E34" s="1690"/>
      <c r="F34" s="597">
        <v>112</v>
      </c>
      <c r="G34" s="426"/>
      <c r="H34" s="426"/>
    </row>
    <row r="35" spans="1:8" ht="15.6">
      <c r="A35" s="425">
        <f t="shared" si="0"/>
        <v>26</v>
      </c>
      <c r="B35" s="219" t="s">
        <v>589</v>
      </c>
      <c r="C35" s="219"/>
      <c r="D35" s="219"/>
      <c r="E35" s="219"/>
      <c r="F35" s="482">
        <v>124</v>
      </c>
      <c r="G35" s="163"/>
      <c r="H35" s="163"/>
    </row>
    <row r="36" spans="1:8" ht="31.5" customHeight="1">
      <c r="A36" s="425">
        <f t="shared" si="0"/>
        <v>27</v>
      </c>
      <c r="B36" s="1691" t="s">
        <v>1966</v>
      </c>
      <c r="C36" s="1691"/>
      <c r="D36" s="1691"/>
      <c r="E36" s="1691"/>
      <c r="F36" s="597">
        <v>125</v>
      </c>
      <c r="G36" s="163"/>
      <c r="H36" s="163"/>
    </row>
    <row r="37" spans="1:8" ht="15.6">
      <c r="A37" s="425">
        <f t="shared" si="0"/>
        <v>28</v>
      </c>
      <c r="B37" s="219" t="s">
        <v>590</v>
      </c>
      <c r="C37" s="219"/>
      <c r="D37" s="219"/>
      <c r="E37" s="219"/>
      <c r="F37" s="482">
        <v>126</v>
      </c>
      <c r="G37" s="163"/>
      <c r="H37" s="163"/>
    </row>
    <row r="38" spans="1:8" ht="15.6">
      <c r="A38" s="425">
        <f t="shared" si="0"/>
        <v>29</v>
      </c>
      <c r="B38" s="219" t="s">
        <v>2979</v>
      </c>
      <c r="C38" s="219"/>
      <c r="D38" s="219"/>
      <c r="E38" s="219"/>
      <c r="F38" s="482">
        <v>127</v>
      </c>
      <c r="G38" s="163"/>
      <c r="H38" s="163"/>
    </row>
    <row r="39" spans="1:8" ht="15.6">
      <c r="A39" s="425">
        <f t="shared" si="0"/>
        <v>30</v>
      </c>
      <c r="B39" s="219" t="s">
        <v>2988</v>
      </c>
      <c r="C39" s="219"/>
      <c r="D39" s="219"/>
      <c r="E39" s="219"/>
      <c r="F39" s="482">
        <v>134</v>
      </c>
      <c r="G39" s="163"/>
      <c r="H39" s="163"/>
    </row>
    <row r="40" spans="1:8" ht="15.6">
      <c r="A40" s="425">
        <f t="shared" si="0"/>
        <v>31</v>
      </c>
      <c r="B40" s="219" t="s">
        <v>591</v>
      </c>
      <c r="C40" s="219"/>
      <c r="D40" s="219"/>
      <c r="E40" s="219"/>
      <c r="F40" s="482">
        <v>138</v>
      </c>
      <c r="G40" s="163"/>
      <c r="H40" s="163"/>
    </row>
    <row r="41" spans="1:8" ht="15.6">
      <c r="A41" s="425">
        <f t="shared" si="0"/>
        <v>32</v>
      </c>
      <c r="B41" s="219" t="s">
        <v>592</v>
      </c>
      <c r="C41" s="219"/>
      <c r="D41" s="219"/>
      <c r="E41" s="219"/>
      <c r="F41" s="482">
        <v>139</v>
      </c>
      <c r="G41" s="163"/>
      <c r="H41" s="163"/>
    </row>
    <row r="42" spans="1:8" ht="15.6">
      <c r="A42" s="425">
        <f t="shared" si="0"/>
        <v>33</v>
      </c>
      <c r="B42" s="163" t="s">
        <v>593</v>
      </c>
      <c r="C42" s="219"/>
      <c r="D42" s="219"/>
      <c r="E42" s="219"/>
      <c r="F42" s="482">
        <v>140</v>
      </c>
      <c r="G42" s="163"/>
      <c r="H42" s="163"/>
    </row>
    <row r="43" spans="1:8" ht="15.6">
      <c r="A43" s="425">
        <f t="shared" si="0"/>
        <v>34</v>
      </c>
      <c r="B43" s="163" t="s">
        <v>594</v>
      </c>
      <c r="C43" s="219"/>
      <c r="D43" s="219"/>
      <c r="E43" s="219"/>
      <c r="F43" s="482">
        <v>141</v>
      </c>
      <c r="G43" s="163"/>
      <c r="H43" s="163"/>
    </row>
    <row r="44" spans="1:8" ht="15.6">
      <c r="A44" s="425">
        <f t="shared" si="0"/>
        <v>35</v>
      </c>
      <c r="B44" s="163" t="s">
        <v>595</v>
      </c>
      <c r="C44" s="219"/>
      <c r="D44" s="219"/>
      <c r="E44" s="219"/>
      <c r="F44" s="482">
        <v>142</v>
      </c>
      <c r="G44" s="163"/>
      <c r="H44" s="163"/>
    </row>
    <row r="45" spans="1:8" ht="15.6">
      <c r="A45" s="425">
        <f t="shared" si="0"/>
        <v>36</v>
      </c>
      <c r="B45" s="219" t="s">
        <v>1452</v>
      </c>
      <c r="C45" s="219"/>
      <c r="D45" s="219"/>
      <c r="E45" s="219"/>
      <c r="F45" s="482">
        <v>146</v>
      </c>
      <c r="G45" s="163"/>
      <c r="H45" s="163"/>
    </row>
    <row r="46" spans="1:8" ht="15.6">
      <c r="A46" s="425">
        <f t="shared" si="0"/>
        <v>37</v>
      </c>
      <c r="B46" s="219" t="s">
        <v>1453</v>
      </c>
      <c r="C46" s="219"/>
      <c r="D46" s="219"/>
      <c r="E46" s="219"/>
      <c r="F46" s="482">
        <v>148</v>
      </c>
      <c r="G46" s="163"/>
      <c r="H46" s="163"/>
    </row>
    <row r="47" spans="1:8" ht="15.6">
      <c r="A47" s="425"/>
      <c r="B47" s="356"/>
      <c r="C47" s="219"/>
      <c r="D47" s="219"/>
      <c r="E47" s="219"/>
      <c r="F47" s="429"/>
      <c r="G47" s="163"/>
      <c r="H47" s="163"/>
    </row>
    <row r="48" spans="1:8" ht="31.5" customHeight="1">
      <c r="A48" s="425"/>
      <c r="B48" s="1683"/>
      <c r="C48" s="1690"/>
      <c r="D48" s="1690"/>
      <c r="E48" s="1690"/>
      <c r="F48" s="430"/>
      <c r="G48" s="163"/>
      <c r="H48" s="163"/>
    </row>
    <row r="49" spans="1:8" ht="15.6">
      <c r="A49" s="355"/>
      <c r="B49" s="355"/>
      <c r="C49" s="219"/>
      <c r="D49" s="219"/>
      <c r="E49" s="219"/>
      <c r="F49" s="429"/>
      <c r="G49" s="163"/>
      <c r="H49" s="163"/>
    </row>
    <row r="50" spans="1:8" ht="15.6">
      <c r="A50" s="355"/>
      <c r="C50" s="163"/>
      <c r="D50" s="163"/>
      <c r="E50" s="163"/>
      <c r="F50" s="163"/>
      <c r="G50" s="163"/>
      <c r="H50" s="163"/>
    </row>
    <row r="51" spans="1:8" ht="67.95" customHeight="1">
      <c r="A51" s="1683" t="s">
        <v>2881</v>
      </c>
      <c r="B51" s="1683"/>
      <c r="C51" s="1683"/>
      <c r="D51" s="1683"/>
      <c r="E51" s="1683"/>
      <c r="F51" s="1683"/>
      <c r="G51" s="163"/>
      <c r="H51" s="163"/>
    </row>
  </sheetData>
  <sheetProtection sheet="1"/>
  <mergeCells count="9">
    <mergeCell ref="A51:F51"/>
    <mergeCell ref="A1:F1"/>
    <mergeCell ref="B28:E28"/>
    <mergeCell ref="A2:F2"/>
    <mergeCell ref="B48:E48"/>
    <mergeCell ref="B36:E36"/>
    <mergeCell ref="C5:D5"/>
    <mergeCell ref="C6:D6"/>
    <mergeCell ref="B34:E34"/>
  </mergeCells>
  <phoneticPr fontId="26" type="noConversion"/>
  <printOptions horizontalCentered="1"/>
  <pageMargins left="0.5" right="0.5" top="1.45" bottom="1" header="1" footer="0.5"/>
  <pageSetup scale="73" orientation="portrait" r:id="rId1"/>
  <headerFooter alignWithMargins="0">
    <oddHeader>&amp;C&amp;"Times New Roman,Bold"&amp;14ATTACHMENT D, Page &amp;P of &amp;N
EVERGY&amp;X1</oddHeader>
    <oddFooter>&amp;R&amp;1#&amp;"Calibri"&amp;10&amp;KA80000Internal Use Only</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O111"/>
  <sheetViews>
    <sheetView view="pageBreakPreview" zoomScale="90" zoomScaleNormal="100" zoomScaleSheetLayoutView="90" workbookViewId="0">
      <selection sqref="A1:G1"/>
    </sheetView>
  </sheetViews>
  <sheetFormatPr defaultColWidth="9.109375" defaultRowHeight="13.2"/>
  <cols>
    <col min="1" max="1" width="12.6640625" style="1" customWidth="1"/>
    <col min="2" max="2" width="15.6640625" style="1" customWidth="1"/>
    <col min="3" max="3" width="46.6640625" style="1" customWidth="1"/>
    <col min="4" max="5" width="14.44140625" style="1" customWidth="1"/>
    <col min="6" max="6" width="16.33203125" style="1" customWidth="1"/>
    <col min="7" max="7" width="14.44140625" style="1" customWidth="1"/>
    <col min="8" max="8" width="14.6640625" style="1" customWidth="1"/>
    <col min="9" max="9" width="23.5546875" style="1" customWidth="1"/>
    <col min="10" max="10" width="3.109375" style="1" customWidth="1"/>
    <col min="11" max="11" width="10.6640625" style="1" customWidth="1"/>
    <col min="12" max="12" width="15.6640625" style="1" customWidth="1"/>
    <col min="13" max="13" width="3.6640625" style="1" customWidth="1"/>
    <col min="14" max="14" width="10.109375" style="1" customWidth="1"/>
    <col min="15" max="15" width="9.109375" style="1" hidden="1" customWidth="1"/>
    <col min="16" max="16384" width="9.109375" style="1"/>
  </cols>
  <sheetData>
    <row r="1" spans="1:7" ht="20.399999999999999">
      <c r="A1" s="1713" t="s">
        <v>1022</v>
      </c>
      <c r="B1" s="1713"/>
      <c r="C1" s="1713"/>
      <c r="D1" s="1713"/>
      <c r="E1" s="1713"/>
      <c r="F1" s="1713"/>
      <c r="G1" s="1713"/>
    </row>
    <row r="2" spans="1:7" ht="19.2">
      <c r="A2" s="1719" t="str">
        <f>' Net Monthly Bill'!A2:B2</f>
        <v>For Contract Year Beginning June 1, 2024, Based on 2023 Data</v>
      </c>
      <c r="B2" s="1719"/>
      <c r="C2" s="1719"/>
      <c r="D2" s="1719"/>
      <c r="E2" s="1719"/>
      <c r="F2" s="1719"/>
      <c r="G2" s="1719"/>
    </row>
    <row r="3" spans="1:7" ht="20.399999999999999">
      <c r="A3" s="665"/>
      <c r="B3" s="665"/>
      <c r="C3" s="665"/>
      <c r="D3" s="665"/>
      <c r="E3" s="665"/>
      <c r="F3" s="665"/>
      <c r="G3" s="665"/>
    </row>
    <row r="4" spans="1:7" ht="20.399999999999999">
      <c r="A4" s="665"/>
      <c r="B4" s="1727" t="s">
        <v>21</v>
      </c>
      <c r="C4" s="1728"/>
      <c r="D4" s="1728"/>
      <c r="E4" s="1728"/>
      <c r="F4" s="1729"/>
      <c r="G4" s="665"/>
    </row>
    <row r="5" spans="1:7" ht="20.399999999999999">
      <c r="A5" s="665"/>
      <c r="B5" s="716" t="s">
        <v>969</v>
      </c>
      <c r="C5" s="717"/>
      <c r="D5" s="717"/>
      <c r="E5" s="718"/>
      <c r="F5" s="719">
        <f>'Item 4, Demand Rel. Exp.'!G34</f>
        <v>102717043.04000001</v>
      </c>
      <c r="G5" s="665"/>
    </row>
    <row r="6" spans="1:7" ht="20.399999999999999">
      <c r="A6" s="665"/>
      <c r="B6" s="720" t="s">
        <v>970</v>
      </c>
      <c r="C6" s="721"/>
      <c r="D6" s="721"/>
      <c r="E6" s="718"/>
      <c r="F6" s="719">
        <f>'Item 4, Demand Rel. Exp.'!G41</f>
        <v>22743239</v>
      </c>
      <c r="G6" s="665"/>
    </row>
    <row r="7" spans="1:7" ht="20.399999999999999">
      <c r="A7" s="665"/>
      <c r="B7" s="720" t="s">
        <v>971</v>
      </c>
      <c r="C7" s="721"/>
      <c r="D7" s="721"/>
      <c r="E7" s="718"/>
      <c r="F7" s="719">
        <f>'Item 4, Demand Rel. Exp.'!G47</f>
        <v>33079854</v>
      </c>
      <c r="G7" s="665"/>
    </row>
    <row r="8" spans="1:7" ht="20.399999999999999">
      <c r="A8" s="665"/>
      <c r="B8" s="720" t="s">
        <v>972</v>
      </c>
      <c r="C8" s="721"/>
      <c r="D8" s="721"/>
      <c r="E8" s="718"/>
      <c r="F8" s="719">
        <f>'Wrksht. W, Dir. Assigned Trans.'!E9</f>
        <v>0</v>
      </c>
      <c r="G8" s="665"/>
    </row>
    <row r="9" spans="1:7" ht="20.399999999999999">
      <c r="A9" s="665"/>
      <c r="B9" s="720" t="s">
        <v>973</v>
      </c>
      <c r="C9" s="721"/>
      <c r="D9" s="721"/>
      <c r="E9" s="718"/>
      <c r="F9" s="719">
        <f>'Item 4, Demand Rel. Exp.'!G54</f>
        <v>111691650.87816615</v>
      </c>
      <c r="G9" s="665"/>
    </row>
    <row r="10" spans="1:7" ht="20.399999999999999">
      <c r="A10" s="665"/>
      <c r="B10" s="720" t="s">
        <v>974</v>
      </c>
      <c r="C10" s="721"/>
      <c r="D10" s="721"/>
      <c r="E10" s="718"/>
      <c r="F10" s="719">
        <f>SUM(F5:F9)</f>
        <v>270231786.91816616</v>
      </c>
      <c r="G10" s="665"/>
    </row>
    <row r="11" spans="1:7" ht="20.399999999999999">
      <c r="A11" s="665"/>
      <c r="B11" s="665"/>
      <c r="C11" s="665"/>
      <c r="D11" s="665"/>
      <c r="E11" s="714"/>
      <c r="F11" s="699"/>
      <c r="G11" s="665"/>
    </row>
    <row r="12" spans="1:7" ht="20.399999999999999">
      <c r="A12" s="665"/>
      <c r="B12" s="720" t="s">
        <v>975</v>
      </c>
      <c r="C12" s="722"/>
      <c r="D12" s="722"/>
      <c r="E12" s="718"/>
      <c r="F12" s="719">
        <f>'Item 4, Demand Rel. Exp.'!G66</f>
        <v>295861039.96594065</v>
      </c>
      <c r="G12" s="665"/>
    </row>
    <row r="13" spans="1:7" ht="20.399999999999999">
      <c r="A13" s="665"/>
      <c r="B13" s="665"/>
      <c r="C13" s="665"/>
      <c r="D13" s="665"/>
      <c r="E13" s="714"/>
      <c r="F13" s="699"/>
      <c r="G13" s="665"/>
    </row>
    <row r="14" spans="1:7" ht="20.399999999999999">
      <c r="A14" s="665"/>
      <c r="B14" s="720" t="s">
        <v>976</v>
      </c>
      <c r="C14" s="723"/>
      <c r="D14" s="723"/>
      <c r="E14" s="718"/>
      <c r="F14" s="719">
        <f>'Item 4, Demand Rel. Exp.'!G89</f>
        <v>113602536.42916669</v>
      </c>
      <c r="G14" s="665"/>
    </row>
    <row r="15" spans="1:7" ht="20.399999999999999">
      <c r="A15" s="665"/>
      <c r="B15" s="663"/>
      <c r="C15" s="663"/>
      <c r="D15" s="663"/>
      <c r="E15" s="714"/>
      <c r="F15" s="724"/>
      <c r="G15" s="665"/>
    </row>
    <row r="16" spans="1:7" ht="20.399999999999999">
      <c r="A16" s="665"/>
      <c r="B16" s="720" t="s">
        <v>1947</v>
      </c>
      <c r="C16" s="674"/>
      <c r="D16" s="722"/>
      <c r="E16" s="718"/>
      <c r="F16" s="725">
        <f>'Item 4, Demand Rel. Exp.'!G107</f>
        <v>18213041.678899035</v>
      </c>
      <c r="G16" s="665"/>
    </row>
    <row r="17" spans="1:13" ht="14.1" customHeight="1">
      <c r="A17" s="726"/>
      <c r="B17" s="726"/>
      <c r="C17" s="726"/>
      <c r="D17" s="642"/>
      <c r="E17" s="642"/>
      <c r="F17" s="714"/>
      <c r="G17" s="642"/>
      <c r="H17" s="2"/>
      <c r="I17" s="2"/>
      <c r="J17" s="2"/>
      <c r="K17" s="2"/>
      <c r="L17" s="2"/>
      <c r="M17" s="2"/>
    </row>
    <row r="18" spans="1:13" ht="18.600000000000001">
      <c r="A18" s="727" t="s">
        <v>1434</v>
      </c>
      <c r="B18" s="660"/>
      <c r="C18" s="660"/>
      <c r="D18" s="687" t="s">
        <v>2892</v>
      </c>
      <c r="E18" s="687" t="s">
        <v>2893</v>
      </c>
      <c r="F18" s="686" t="s">
        <v>540</v>
      </c>
      <c r="G18" s="687" t="s">
        <v>468</v>
      </c>
      <c r="I18" s="2"/>
      <c r="J18" s="2"/>
      <c r="K18" s="2"/>
      <c r="L18" s="2"/>
      <c r="M18" s="2"/>
    </row>
    <row r="19" spans="1:13" ht="13.5" customHeight="1">
      <c r="A19" s="642" t="s">
        <v>1036</v>
      </c>
      <c r="B19" s="660"/>
      <c r="C19" s="660"/>
      <c r="D19" s="688">
        <f>'Form 1 Inputs'!D76+'Form 1 Inputs'!D83</f>
        <v>192418737</v>
      </c>
      <c r="E19" s="688">
        <f>'Form 1 Inputs'!E76+'Form 1 Inputs'!E83</f>
        <v>272907478</v>
      </c>
      <c r="F19" s="692">
        <v>1</v>
      </c>
      <c r="G19" s="688">
        <f t="shared" ref="G19:G33" si="0">(D19+E19)*F19</f>
        <v>465326215</v>
      </c>
      <c r="H19" s="7"/>
      <c r="I19" s="2"/>
      <c r="J19" s="2"/>
      <c r="K19" s="2"/>
      <c r="L19" s="2"/>
      <c r="M19" s="2"/>
    </row>
    <row r="20" spans="1:13" ht="13.5" customHeight="1">
      <c r="A20" s="728" t="s">
        <v>1024</v>
      </c>
      <c r="B20" s="714"/>
      <c r="C20" s="660"/>
      <c r="D20" s="688">
        <f>-'Form 1 Inputs'!D70</f>
        <v>-147490992</v>
      </c>
      <c r="E20" s="688">
        <f>-'Form 1 Inputs'!E70</f>
        <v>-129973420</v>
      </c>
      <c r="F20" s="692">
        <v>1</v>
      </c>
      <c r="G20" s="688">
        <f>(D20+E20)*F20</f>
        <v>-277464412</v>
      </c>
      <c r="H20" s="7"/>
      <c r="I20" s="2"/>
      <c r="J20" s="2"/>
      <c r="K20" s="2"/>
      <c r="L20" s="2"/>
      <c r="M20" s="2"/>
    </row>
    <row r="21" spans="1:13" ht="13.5" customHeight="1">
      <c r="A21" s="728" t="s">
        <v>1025</v>
      </c>
      <c r="B21" s="714"/>
      <c r="C21" s="642"/>
      <c r="D21" s="688">
        <f>-'Form 1 Inputs'!D71</f>
        <v>0</v>
      </c>
      <c r="E21" s="688">
        <f>-'Form 1 Inputs'!E71</f>
        <v>0</v>
      </c>
      <c r="F21" s="692">
        <v>1</v>
      </c>
      <c r="G21" s="688">
        <f t="shared" si="0"/>
        <v>0</v>
      </c>
      <c r="H21" s="7"/>
      <c r="I21" s="2"/>
      <c r="J21" s="2"/>
      <c r="K21" s="2"/>
      <c r="L21" s="2"/>
      <c r="M21" s="2"/>
    </row>
    <row r="22" spans="1:13" ht="13.5" customHeight="1">
      <c r="A22" s="728" t="s">
        <v>1026</v>
      </c>
      <c r="B22" s="714"/>
      <c r="C22" s="642"/>
      <c r="D22" s="688">
        <f>-'Form 1 Inputs'!D72</f>
        <v>0</v>
      </c>
      <c r="E22" s="688">
        <f>-'Form 1 Inputs'!E72</f>
        <v>0</v>
      </c>
      <c r="F22" s="692">
        <v>1</v>
      </c>
      <c r="G22" s="688">
        <f t="shared" si="0"/>
        <v>0</v>
      </c>
      <c r="H22" s="7"/>
      <c r="I22" s="2"/>
      <c r="J22" s="2"/>
      <c r="K22" s="2"/>
      <c r="L22" s="2"/>
      <c r="M22" s="2"/>
    </row>
    <row r="23" spans="1:13" ht="13.5" customHeight="1">
      <c r="A23" s="728" t="s">
        <v>1027</v>
      </c>
      <c r="B23" s="714"/>
      <c r="C23" s="642"/>
      <c r="D23" s="688">
        <f>-'Form 1 Inputs'!D73</f>
        <v>-2163111</v>
      </c>
      <c r="E23" s="688">
        <f>-'Form 1 Inputs'!E73</f>
        <v>-3085376</v>
      </c>
      <c r="F23" s="692">
        <v>1</v>
      </c>
      <c r="G23" s="688">
        <f>(D23+E23)*F23</f>
        <v>-5248487</v>
      </c>
      <c r="H23" s="7"/>
      <c r="I23" s="2"/>
      <c r="J23" s="2"/>
      <c r="K23" s="2"/>
      <c r="L23" s="2"/>
      <c r="M23" s="2"/>
    </row>
    <row r="24" spans="1:13" ht="13.5" customHeight="1">
      <c r="A24" s="728" t="s">
        <v>1028</v>
      </c>
      <c r="B24" s="714"/>
      <c r="C24" s="642"/>
      <c r="D24" s="688">
        <f>-'Form 1 Inputs'!D74</f>
        <v>-13915533</v>
      </c>
      <c r="E24" s="688">
        <f>-'Form 1 Inputs'!E74</f>
        <v>-9600040</v>
      </c>
      <c r="F24" s="692">
        <v>1</v>
      </c>
      <c r="G24" s="688">
        <f>(D24+E24)*F24</f>
        <v>-23515573</v>
      </c>
      <c r="H24" s="7"/>
      <c r="I24" s="2"/>
      <c r="J24" s="2"/>
      <c r="K24" s="2"/>
      <c r="L24" s="2"/>
      <c r="M24" s="2"/>
    </row>
    <row r="25" spans="1:13" ht="13.5" customHeight="1">
      <c r="A25" s="728" t="s">
        <v>1029</v>
      </c>
      <c r="B25" s="714"/>
      <c r="C25" s="642"/>
      <c r="D25" s="688">
        <f>-'Form 1 Inputs'!D75</f>
        <v>-6094918</v>
      </c>
      <c r="E25" s="688">
        <f>-'Form 1 Inputs'!E75</f>
        <v>-1972742</v>
      </c>
      <c r="F25" s="692">
        <v>1</v>
      </c>
      <c r="G25" s="688">
        <f>(D25+E25)*F25</f>
        <v>-8067660</v>
      </c>
      <c r="H25" s="7"/>
      <c r="I25" s="2"/>
      <c r="J25" s="2"/>
      <c r="K25" s="2"/>
      <c r="L25" s="2"/>
      <c r="M25" s="2"/>
    </row>
    <row r="26" spans="1:13" ht="13.5" customHeight="1">
      <c r="A26" s="728" t="s">
        <v>1030</v>
      </c>
      <c r="B26" s="714"/>
      <c r="C26" s="642"/>
      <c r="D26" s="688">
        <f>-'Form 1 Inputs'!D77</f>
        <v>0</v>
      </c>
      <c r="E26" s="688">
        <f>-'Form 1 Inputs'!E77</f>
        <v>-30936490</v>
      </c>
      <c r="F26" s="692">
        <v>1</v>
      </c>
      <c r="G26" s="688">
        <f>(D26+E26)*F26</f>
        <v>-30936490</v>
      </c>
      <c r="H26" s="7"/>
      <c r="I26" s="2"/>
      <c r="J26" s="2"/>
      <c r="K26" s="2"/>
      <c r="L26" s="2"/>
      <c r="M26" s="2"/>
    </row>
    <row r="27" spans="1:13" ht="13.5" customHeight="1">
      <c r="A27" s="728" t="s">
        <v>1031</v>
      </c>
      <c r="B27" s="714"/>
      <c r="C27" s="642"/>
      <c r="D27" s="688">
        <f>-'Form 1 Inputs'!D78</f>
        <v>0</v>
      </c>
      <c r="E27" s="688">
        <f>-'Form 1 Inputs'!E78</f>
        <v>0</v>
      </c>
      <c r="F27" s="692">
        <v>1</v>
      </c>
      <c r="G27" s="688">
        <f t="shared" si="0"/>
        <v>0</v>
      </c>
      <c r="H27" s="7"/>
      <c r="I27" s="2"/>
      <c r="J27" s="2"/>
      <c r="K27" s="2"/>
      <c r="L27" s="2"/>
      <c r="M27" s="2"/>
    </row>
    <row r="28" spans="1:13" ht="13.5" customHeight="1">
      <c r="A28" s="728" t="s">
        <v>1032</v>
      </c>
      <c r="B28" s="714"/>
      <c r="C28" s="642"/>
      <c r="D28" s="688">
        <f>-'Form 1 Inputs'!D79</f>
        <v>0</v>
      </c>
      <c r="E28" s="688">
        <f>-'Form 1 Inputs'!E79</f>
        <v>0</v>
      </c>
      <c r="F28" s="692">
        <v>1</v>
      </c>
      <c r="G28" s="688">
        <f t="shared" si="0"/>
        <v>0</v>
      </c>
      <c r="H28" s="7"/>
      <c r="I28" s="2"/>
      <c r="J28" s="2"/>
      <c r="K28" s="2"/>
      <c r="L28" s="2"/>
      <c r="M28" s="2"/>
    </row>
    <row r="29" spans="1:13" ht="13.5" customHeight="1">
      <c r="A29" s="728" t="s">
        <v>1033</v>
      </c>
      <c r="B29" s="714"/>
      <c r="C29" s="642"/>
      <c r="D29" s="688">
        <f>-'Form 1 Inputs'!D80</f>
        <v>0</v>
      </c>
      <c r="E29" s="688">
        <f>-'Form 1 Inputs'!E80</f>
        <v>-3609233</v>
      </c>
      <c r="F29" s="692">
        <v>1</v>
      </c>
      <c r="G29" s="688">
        <f>(D29+E29)*F29</f>
        <v>-3609233</v>
      </c>
      <c r="H29" s="7"/>
      <c r="I29" s="2"/>
      <c r="J29" s="2"/>
      <c r="K29" s="2"/>
      <c r="L29" s="2"/>
      <c r="M29" s="2"/>
    </row>
    <row r="30" spans="1:13" ht="13.5" customHeight="1">
      <c r="A30" s="728" t="s">
        <v>1034</v>
      </c>
      <c r="B30" s="714"/>
      <c r="C30" s="642"/>
      <c r="D30" s="688">
        <f>-'Form 1 Inputs'!D81</f>
        <v>0</v>
      </c>
      <c r="E30" s="688">
        <f>-'Form 1 Inputs'!E81</f>
        <v>-11746432</v>
      </c>
      <c r="F30" s="692">
        <v>1</v>
      </c>
      <c r="G30" s="688">
        <f>(D30+E30)*F30</f>
        <v>-11746432</v>
      </c>
      <c r="H30" s="7"/>
      <c r="I30" s="2"/>
      <c r="J30" s="2"/>
      <c r="K30" s="2"/>
      <c r="L30" s="2"/>
      <c r="M30" s="2"/>
    </row>
    <row r="31" spans="1:13" ht="13.5" customHeight="1">
      <c r="A31" s="728" t="s">
        <v>1035</v>
      </c>
      <c r="B31" s="714"/>
      <c r="C31" s="642"/>
      <c r="D31" s="688">
        <f>-'Form 1 Inputs'!D82</f>
        <v>0</v>
      </c>
      <c r="E31" s="688">
        <f>-'Form 1 Inputs'!E82</f>
        <v>-2020885</v>
      </c>
      <c r="F31" s="692">
        <v>1</v>
      </c>
      <c r="G31" s="688">
        <f>(D31+E31)*F31</f>
        <v>-2020885</v>
      </c>
      <c r="H31" s="7"/>
      <c r="I31" s="2"/>
      <c r="J31" s="2"/>
      <c r="K31" s="2"/>
      <c r="L31" s="2"/>
      <c r="M31" s="2"/>
    </row>
    <row r="32" spans="1:13" ht="13.5" customHeight="1">
      <c r="A32" s="728" t="s">
        <v>517</v>
      </c>
      <c r="B32" s="714"/>
      <c r="C32" s="642"/>
      <c r="D32" s="1588">
        <v>0</v>
      </c>
      <c r="E32" s="1588">
        <f>-5772699.96</f>
        <v>-5772699.96</v>
      </c>
      <c r="F32" s="692">
        <v>1</v>
      </c>
      <c r="G32" s="688">
        <f t="shared" si="0"/>
        <v>-5772699.96</v>
      </c>
      <c r="H32" s="7"/>
      <c r="I32" s="2"/>
      <c r="J32" s="2"/>
      <c r="K32" s="2"/>
      <c r="L32" s="2"/>
      <c r="M32" s="2"/>
    </row>
    <row r="33" spans="1:13" ht="13.5" customHeight="1">
      <c r="A33" s="728" t="s">
        <v>2614</v>
      </c>
      <c r="B33" s="729"/>
      <c r="C33" s="730"/>
      <c r="D33" s="731">
        <v>0</v>
      </c>
      <c r="E33" s="731">
        <f>+'Wrksht. L, Wolf Creek Decom.'!C5</f>
        <v>5772700</v>
      </c>
      <c r="F33" s="692">
        <v>1</v>
      </c>
      <c r="G33" s="731">
        <f t="shared" si="0"/>
        <v>5772700</v>
      </c>
      <c r="H33" s="7"/>
      <c r="J33" s="2"/>
      <c r="K33" s="2"/>
      <c r="L33" s="2"/>
      <c r="M33" s="2"/>
    </row>
    <row r="34" spans="1:13" ht="13.5" customHeight="1">
      <c r="A34" s="702" t="s">
        <v>468</v>
      </c>
      <c r="B34" s="714"/>
      <c r="C34" s="642"/>
      <c r="D34" s="683">
        <f>SUM(D19:D33)</f>
        <v>22754183</v>
      </c>
      <c r="E34" s="683">
        <f>SUM(E19:E33)</f>
        <v>79962860.040000007</v>
      </c>
      <c r="F34" s="732"/>
      <c r="G34" s="683">
        <f>SUM(G19:G33)</f>
        <v>102717043.04000001</v>
      </c>
      <c r="H34" s="7"/>
      <c r="I34" s="2"/>
      <c r="J34" s="2"/>
      <c r="K34" s="2"/>
      <c r="L34" s="2"/>
      <c r="M34" s="2"/>
    </row>
    <row r="35" spans="1:13" ht="13.5" customHeight="1">
      <c r="A35" s="702"/>
      <c r="B35" s="714"/>
      <c r="C35" s="642"/>
      <c r="D35" s="683"/>
      <c r="E35" s="683"/>
      <c r="F35" s="732"/>
      <c r="G35" s="683"/>
      <c r="H35" s="7"/>
      <c r="I35" s="2"/>
      <c r="J35" s="2"/>
      <c r="K35" s="2"/>
      <c r="L35" s="2"/>
      <c r="M35" s="2"/>
    </row>
    <row r="36" spans="1:13" ht="13.5" customHeight="1">
      <c r="A36" s="728" t="s">
        <v>1023</v>
      </c>
      <c r="B36" s="714"/>
      <c r="C36" s="642"/>
      <c r="D36" s="683"/>
      <c r="E36" s="683"/>
      <c r="F36" s="732"/>
      <c r="G36" s="683"/>
      <c r="H36" s="7"/>
      <c r="I36" s="2"/>
      <c r="J36" s="2"/>
      <c r="K36" s="2"/>
      <c r="L36" s="2"/>
      <c r="M36" s="2"/>
    </row>
    <row r="37" spans="1:13" ht="13.5" customHeight="1">
      <c r="A37" s="728"/>
      <c r="B37" s="714"/>
      <c r="C37" s="642"/>
      <c r="D37" s="683"/>
      <c r="E37" s="683"/>
      <c r="F37" s="732"/>
      <c r="G37" s="683"/>
      <c r="H37" s="7"/>
      <c r="I37" s="2"/>
      <c r="J37" s="2"/>
      <c r="K37" s="2"/>
      <c r="L37" s="2"/>
      <c r="M37" s="2"/>
    </row>
    <row r="38" spans="1:13" ht="18.600000000000001">
      <c r="A38" s="727" t="s">
        <v>815</v>
      </c>
      <c r="B38" s="732"/>
      <c r="C38" s="642"/>
      <c r="D38" s="686" t="s">
        <v>2892</v>
      </c>
      <c r="E38" s="686" t="s">
        <v>2893</v>
      </c>
      <c r="F38" s="686" t="s">
        <v>540</v>
      </c>
      <c r="G38" s="686" t="s">
        <v>468</v>
      </c>
      <c r="H38" s="7"/>
      <c r="I38" s="2"/>
      <c r="J38" s="2"/>
      <c r="K38" s="2"/>
      <c r="L38" s="2"/>
      <c r="M38" s="2"/>
    </row>
    <row r="39" spans="1:13" ht="13.5" customHeight="1">
      <c r="A39" s="642" t="s">
        <v>518</v>
      </c>
      <c r="B39" s="732"/>
      <c r="C39" s="642"/>
      <c r="D39" s="688">
        <f>'Form 1 Inputs'!D86</f>
        <v>87946192</v>
      </c>
      <c r="E39" s="688">
        <f>'Form 1 Inputs'!E86</f>
        <v>34018</v>
      </c>
      <c r="F39" s="692">
        <v>1</v>
      </c>
      <c r="G39" s="688">
        <f>D39+E39</f>
        <v>87980210</v>
      </c>
      <c r="H39" s="7"/>
      <c r="I39" s="2"/>
      <c r="J39" s="2"/>
      <c r="K39" s="2"/>
      <c r="L39" s="2"/>
      <c r="M39" s="2"/>
    </row>
    <row r="40" spans="1:13" ht="13.5" customHeight="1">
      <c r="A40" s="711" t="s">
        <v>475</v>
      </c>
      <c r="B40" s="728" t="s">
        <v>1208</v>
      </c>
      <c r="C40" s="642"/>
      <c r="D40" s="731">
        <f>-'Form 1 Inputs'!D85</f>
        <v>-65233191</v>
      </c>
      <c r="E40" s="731">
        <f>-'Form 1 Inputs'!E85</f>
        <v>-3780</v>
      </c>
      <c r="F40" s="692">
        <v>1</v>
      </c>
      <c r="G40" s="731">
        <f>D40+E40</f>
        <v>-65236971</v>
      </c>
      <c r="H40" s="7"/>
      <c r="I40" s="2"/>
      <c r="J40" s="2"/>
      <c r="K40" s="2"/>
      <c r="L40" s="2"/>
      <c r="M40" s="2"/>
    </row>
    <row r="41" spans="1:13" ht="13.5" customHeight="1">
      <c r="A41" s="728" t="s">
        <v>22</v>
      </c>
      <c r="B41" s="642"/>
      <c r="C41" s="714"/>
      <c r="D41" s="683">
        <f>SUM(D39:D40)</f>
        <v>22713001</v>
      </c>
      <c r="E41" s="683">
        <f>SUM(E39:E40)</f>
        <v>30238</v>
      </c>
      <c r="F41" s="733"/>
      <c r="G41" s="683">
        <f>SUM(G39:G40)</f>
        <v>22743239</v>
      </c>
      <c r="H41" s="7"/>
      <c r="I41" s="2"/>
      <c r="J41" s="2"/>
      <c r="K41" s="2"/>
      <c r="L41" s="2"/>
      <c r="M41" s="2"/>
    </row>
    <row r="42" spans="1:13" ht="13.5" customHeight="1">
      <c r="A42" s="642"/>
      <c r="B42" s="642"/>
      <c r="C42" s="642"/>
      <c r="D42" s="683"/>
      <c r="E42" s="683"/>
      <c r="F42" s="733"/>
      <c r="G42" s="683"/>
      <c r="H42" s="7"/>
      <c r="I42" s="2"/>
      <c r="J42" s="2"/>
      <c r="K42" s="2"/>
      <c r="L42" s="2"/>
      <c r="M42" s="2"/>
    </row>
    <row r="43" spans="1:13" ht="18.600000000000001">
      <c r="A43" s="727" t="s">
        <v>816</v>
      </c>
      <c r="B43" s="732"/>
      <c r="C43" s="642"/>
      <c r="D43" s="693"/>
      <c r="E43" s="693"/>
      <c r="F43" s="686" t="s">
        <v>540</v>
      </c>
      <c r="G43" s="693"/>
      <c r="H43" s="7"/>
      <c r="I43" s="2"/>
      <c r="J43" s="2"/>
      <c r="K43" s="2"/>
      <c r="L43" s="2"/>
      <c r="M43" s="2"/>
    </row>
    <row r="44" spans="1:13" ht="13.5" customHeight="1">
      <c r="A44" s="642" t="s">
        <v>1278</v>
      </c>
      <c r="B44" s="732"/>
      <c r="C44" s="642"/>
      <c r="D44" s="688">
        <f>'Form 1 Inputs'!D88</f>
        <v>202640055</v>
      </c>
      <c r="E44" s="688">
        <f>'Form 1 Inputs'!E88</f>
        <v>45262078</v>
      </c>
      <c r="F44" s="692">
        <v>1</v>
      </c>
      <c r="G44" s="688">
        <f>D44+E44</f>
        <v>247902133</v>
      </c>
      <c r="H44" s="7"/>
      <c r="I44" s="2"/>
      <c r="J44" s="2"/>
      <c r="K44" s="2"/>
      <c r="L44" s="2"/>
      <c r="M44" s="2"/>
    </row>
    <row r="45" spans="1:13" ht="13.5" customHeight="1">
      <c r="A45" s="711" t="s">
        <v>475</v>
      </c>
      <c r="B45" s="728" t="s">
        <v>1279</v>
      </c>
      <c r="C45" s="642"/>
      <c r="D45" s="688">
        <f>-'Form 1 Inputs'!D87</f>
        <v>-203551824</v>
      </c>
      <c r="E45" s="688">
        <f>-'Form 1 Inputs'!E87</f>
        <v>-38089595</v>
      </c>
      <c r="F45" s="692">
        <v>1</v>
      </c>
      <c r="G45" s="688">
        <f>D45+E45</f>
        <v>-241641419</v>
      </c>
      <c r="H45" s="7"/>
      <c r="I45" s="2"/>
      <c r="J45" s="2"/>
      <c r="K45" s="2"/>
      <c r="L45" s="2"/>
      <c r="M45" s="2"/>
    </row>
    <row r="46" spans="1:13" ht="13.5" customHeight="1">
      <c r="A46" s="711" t="s">
        <v>1209</v>
      </c>
      <c r="B46" s="728" t="s">
        <v>2228</v>
      </c>
      <c r="C46" s="642"/>
      <c r="D46" s="731">
        <f>'Form 1 Inputs'!D106</f>
        <v>26819140</v>
      </c>
      <c r="E46" s="731">
        <f>'Form 1 Inputs'!E106</f>
        <v>0</v>
      </c>
      <c r="F46" s="692">
        <v>1</v>
      </c>
      <c r="G46" s="731">
        <f>D46+E46</f>
        <v>26819140</v>
      </c>
      <c r="H46" s="7"/>
      <c r="I46" s="2"/>
      <c r="J46" s="2"/>
      <c r="K46" s="2"/>
      <c r="L46" s="2"/>
      <c r="M46" s="2"/>
    </row>
    <row r="47" spans="1:13" ht="13.5" customHeight="1">
      <c r="A47" s="728" t="s">
        <v>22</v>
      </c>
      <c r="B47" s="642"/>
      <c r="C47" s="711"/>
      <c r="D47" s="683">
        <f>SUM(D44:D46)</f>
        <v>25907371</v>
      </c>
      <c r="E47" s="683">
        <f>SUM(E44:E46)</f>
        <v>7172483</v>
      </c>
      <c r="F47" s="732"/>
      <c r="G47" s="683">
        <f>SUM(G44:G46)</f>
        <v>33079854</v>
      </c>
      <c r="H47" s="7"/>
      <c r="I47" s="2"/>
      <c r="J47" s="2"/>
      <c r="K47" s="2"/>
      <c r="L47" s="2"/>
      <c r="M47" s="2"/>
    </row>
    <row r="48" spans="1:13" ht="13.5" customHeight="1">
      <c r="A48" s="728"/>
      <c r="B48" s="642"/>
      <c r="C48" s="711"/>
      <c r="D48" s="683"/>
      <c r="E48" s="683"/>
      <c r="F48" s="732"/>
      <c r="G48" s="683"/>
      <c r="H48" s="7"/>
      <c r="I48" s="2"/>
      <c r="J48" s="2"/>
      <c r="K48" s="2"/>
      <c r="L48" s="2"/>
      <c r="M48" s="2"/>
    </row>
    <row r="49" spans="1:14" ht="13.5" customHeight="1">
      <c r="A49" s="642"/>
      <c r="B49" s="642"/>
      <c r="C49" s="642"/>
      <c r="D49" s="732"/>
      <c r="E49" s="732"/>
      <c r="F49" s="684" t="s">
        <v>539</v>
      </c>
      <c r="G49" s="732"/>
      <c r="H49" s="7"/>
      <c r="I49" s="2"/>
      <c r="J49" s="2"/>
      <c r="K49" s="2"/>
      <c r="L49" s="2"/>
      <c r="M49" s="2"/>
    </row>
    <row r="50" spans="1:14" ht="18.600000000000001">
      <c r="A50" s="727" t="s">
        <v>1037</v>
      </c>
      <c r="B50" s="642"/>
      <c r="C50" s="642"/>
      <c r="D50" s="734"/>
      <c r="E50" s="734"/>
      <c r="F50" s="687" t="s">
        <v>1</v>
      </c>
      <c r="G50" s="734"/>
      <c r="H50" s="7"/>
      <c r="I50" s="2"/>
      <c r="J50" s="2"/>
      <c r="K50" s="2"/>
      <c r="L50" s="2"/>
      <c r="M50" s="2"/>
    </row>
    <row r="51" spans="1:14" ht="13.5" customHeight="1">
      <c r="A51" s="642" t="s">
        <v>519</v>
      </c>
      <c r="B51" s="642"/>
      <c r="C51" s="642"/>
      <c r="D51" s="690">
        <f>'Form 1 Inputs'!D105</f>
        <v>67865751</v>
      </c>
      <c r="E51" s="690">
        <f>'Form 1 Inputs'!E105</f>
        <v>83287738</v>
      </c>
      <c r="F51" s="735">
        <f>'Wrksht. C, Allocation Ratios'!J21</f>
        <v>0.73673230862335481</v>
      </c>
      <c r="G51" s="683">
        <f>(D51+E51)*F51</f>
        <v>111359658.90744486</v>
      </c>
      <c r="H51" s="7"/>
      <c r="I51" s="2"/>
      <c r="J51" s="2"/>
      <c r="K51" s="2"/>
      <c r="L51" s="2"/>
      <c r="M51" s="2"/>
    </row>
    <row r="52" spans="1:14" ht="13.5" customHeight="1">
      <c r="A52" s="711" t="s">
        <v>475</v>
      </c>
      <c r="B52" s="642" t="s">
        <v>520</v>
      </c>
      <c r="C52" s="642"/>
      <c r="D52" s="1589">
        <f>--(-200648.770000001)</f>
        <v>-200648.77000000101</v>
      </c>
      <c r="E52" s="1589">
        <f>-(29486.83)</f>
        <v>-29486.83</v>
      </c>
      <c r="F52" s="736">
        <f>F51</f>
        <v>0.73673230862335481</v>
      </c>
      <c r="G52" s="683">
        <f>(D52+E52)*F52</f>
        <v>-169548.3318844217</v>
      </c>
      <c r="H52" s="7"/>
      <c r="I52" s="2"/>
      <c r="J52" s="2"/>
      <c r="K52" s="2"/>
      <c r="L52" s="2"/>
      <c r="M52" s="2"/>
    </row>
    <row r="53" spans="1:14" ht="13.5" customHeight="1">
      <c r="A53" s="711" t="s">
        <v>1209</v>
      </c>
      <c r="B53" s="730" t="s">
        <v>2768</v>
      </c>
      <c r="C53" s="642"/>
      <c r="D53" s="1144">
        <f>'Wrksht. T, PBOPs '!D29</f>
        <v>419963.04016400001</v>
      </c>
      <c r="E53" s="1144">
        <f>'Wrksht. T, PBOPs '!F29</f>
        <v>260800.239436</v>
      </c>
      <c r="F53" s="735">
        <f>F51</f>
        <v>0.73673230862335481</v>
      </c>
      <c r="G53" s="737">
        <f>(D53+E53)*F53</f>
        <v>501540.30260571442</v>
      </c>
      <c r="H53" s="7"/>
      <c r="I53" s="2"/>
      <c r="J53" s="2"/>
      <c r="K53" s="2"/>
      <c r="L53" s="2"/>
      <c r="M53" s="2"/>
    </row>
    <row r="54" spans="1:14" ht="13.5" customHeight="1">
      <c r="A54" s="702" t="s">
        <v>1038</v>
      </c>
      <c r="B54" s="642"/>
      <c r="C54" s="642"/>
      <c r="D54" s="690">
        <f>SUM(D51:D53)</f>
        <v>68085065.270163998</v>
      </c>
      <c r="E54" s="690">
        <f>SUM(E51:E53)</f>
        <v>83519051.409436002</v>
      </c>
      <c r="F54" s="738"/>
      <c r="G54" s="690">
        <f>SUM(G51:G53)</f>
        <v>111691650.87816615</v>
      </c>
      <c r="H54" s="7"/>
      <c r="I54" s="2"/>
      <c r="J54" s="2"/>
      <c r="K54" s="2"/>
      <c r="L54" s="2"/>
      <c r="M54" s="2"/>
    </row>
    <row r="55" spans="1:14" ht="13.5" customHeight="1">
      <c r="A55" s="702"/>
      <c r="B55" s="642"/>
      <c r="C55" s="642"/>
      <c r="D55" s="711"/>
      <c r="E55" s="690"/>
      <c r="F55" s="690"/>
      <c r="G55" s="738"/>
      <c r="H55" s="7"/>
      <c r="I55" s="2"/>
      <c r="J55" s="2"/>
      <c r="K55" s="2"/>
      <c r="L55" s="2"/>
      <c r="M55" s="2"/>
    </row>
    <row r="56" spans="1:14" ht="13.5" customHeight="1">
      <c r="A56" s="728" t="s">
        <v>1023</v>
      </c>
      <c r="B56" s="642"/>
      <c r="C56" s="642"/>
      <c r="D56" s="642"/>
      <c r="E56" s="732"/>
      <c r="F56" s="732"/>
      <c r="G56" s="732"/>
      <c r="H56" s="7"/>
      <c r="I56" s="2"/>
      <c r="J56" s="2"/>
      <c r="K56" s="2"/>
      <c r="L56" s="2"/>
      <c r="M56" s="2"/>
    </row>
    <row r="57" spans="1:14" ht="21">
      <c r="A57" s="1713" t="str">
        <f>A1</f>
        <v>ITEM 4 - DEMAND RELATED EXPENSES</v>
      </c>
      <c r="B57" s="1716"/>
      <c r="C57" s="1716"/>
      <c r="D57" s="1716"/>
      <c r="E57" s="1716"/>
      <c r="F57" s="1716"/>
      <c r="G57" s="1716"/>
      <c r="H57" s="165"/>
      <c r="I57" s="2"/>
      <c r="J57" s="2"/>
      <c r="K57" s="2"/>
      <c r="L57" s="2"/>
      <c r="M57" s="2"/>
    </row>
    <row r="58" spans="1:14" ht="19.2">
      <c r="A58" s="1725" t="str">
        <f>A2</f>
        <v>For Contract Year Beginning June 1, 2024, Based on 2023 Data</v>
      </c>
      <c r="B58" s="1726"/>
      <c r="C58" s="1726"/>
      <c r="D58" s="1726"/>
      <c r="E58" s="1726"/>
      <c r="F58" s="1726"/>
      <c r="G58" s="1726"/>
      <c r="H58" s="165"/>
      <c r="I58" s="2"/>
      <c r="J58" s="2"/>
      <c r="K58" s="2"/>
      <c r="L58" s="2"/>
      <c r="M58" s="2"/>
    </row>
    <row r="59" spans="1:14" ht="13.5" customHeight="1">
      <c r="A59" s="714"/>
      <c r="B59" s="714"/>
      <c r="C59" s="714"/>
      <c r="D59" s="714"/>
      <c r="E59" s="714"/>
      <c r="F59" s="714"/>
      <c r="G59" s="714"/>
      <c r="I59" s="2"/>
      <c r="J59" s="2"/>
      <c r="K59" s="2"/>
      <c r="L59" s="2"/>
      <c r="M59" s="2"/>
    </row>
    <row r="60" spans="1:14" ht="13.5" customHeight="1">
      <c r="A60" s="728"/>
      <c r="B60" s="642"/>
      <c r="C60" s="642"/>
      <c r="D60" s="732"/>
      <c r="E60" s="732"/>
      <c r="F60" s="684" t="s">
        <v>541</v>
      </c>
      <c r="G60" s="732"/>
      <c r="I60" s="2"/>
      <c r="J60" s="2"/>
      <c r="K60" s="2"/>
      <c r="L60" s="2"/>
      <c r="M60" s="2"/>
    </row>
    <row r="61" spans="1:14" ht="18.600000000000001">
      <c r="A61" s="739" t="s">
        <v>1039</v>
      </c>
      <c r="B61" s="683"/>
      <c r="C61" s="683"/>
      <c r="D61" s="686" t="s">
        <v>2892</v>
      </c>
      <c r="E61" s="686" t="s">
        <v>2893</v>
      </c>
      <c r="F61" s="687" t="s">
        <v>1</v>
      </c>
      <c r="G61" s="686" t="s">
        <v>468</v>
      </c>
      <c r="H61" s="165"/>
      <c r="I61" s="169"/>
      <c r="J61" s="165"/>
      <c r="K61" s="169"/>
      <c r="L61" s="165"/>
      <c r="M61" s="165"/>
      <c r="N61" s="171"/>
    </row>
    <row r="62" spans="1:14" ht="16.5" customHeight="1">
      <c r="A62" s="688" t="s">
        <v>2318</v>
      </c>
      <c r="B62" s="688"/>
      <c r="C62" s="688"/>
      <c r="D62" s="1586">
        <f>86549971+55330351</f>
        <v>141880322</v>
      </c>
      <c r="E62" s="1586">
        <f>72978955+41994865+32020</f>
        <v>115005840</v>
      </c>
      <c r="F62" s="689">
        <v>1</v>
      </c>
      <c r="G62" s="683">
        <f>(D62+E62)*F62</f>
        <v>256886162</v>
      </c>
      <c r="H62" s="165"/>
      <c r="I62" s="177"/>
      <c r="J62" s="177"/>
      <c r="K62" s="177"/>
      <c r="L62" s="165"/>
      <c r="M62" s="165"/>
      <c r="N62" s="111"/>
    </row>
    <row r="63" spans="1:14" ht="13.5" customHeight="1">
      <c r="A63" s="683" t="s">
        <v>192</v>
      </c>
      <c r="B63" s="683"/>
      <c r="C63" s="688"/>
      <c r="D63" s="1586">
        <v>-446787.39999999467</v>
      </c>
      <c r="E63" s="1586">
        <v>-1415731.400000006</v>
      </c>
      <c r="F63" s="689">
        <v>1</v>
      </c>
      <c r="G63" s="683">
        <f>(D63+E63)*F63</f>
        <v>-1862518.8000000007</v>
      </c>
      <c r="H63" s="165"/>
      <c r="I63" s="177"/>
      <c r="J63" s="177"/>
      <c r="K63" s="177"/>
      <c r="L63" s="165"/>
      <c r="M63" s="165"/>
      <c r="N63" s="111"/>
    </row>
    <row r="64" spans="1:14" ht="13.5" customHeight="1">
      <c r="A64" s="683" t="s">
        <v>521</v>
      </c>
      <c r="B64" s="683"/>
      <c r="C64" s="683"/>
      <c r="D64" s="740">
        <f>'Form 1 Inputs'!D114</f>
        <v>15545148</v>
      </c>
      <c r="E64" s="740">
        <f>'Form 1 Inputs'!E114</f>
        <v>7264568</v>
      </c>
      <c r="F64" s="689">
        <f>F51</f>
        <v>0.73673230862335481</v>
      </c>
      <c r="G64" s="683">
        <f>(D64+E64)*F64</f>
        <v>16804654.727723073</v>
      </c>
      <c r="H64" s="169"/>
      <c r="J64" s="170"/>
      <c r="L64" s="174"/>
      <c r="M64" s="174"/>
    </row>
    <row r="65" spans="1:14" ht="13.5" customHeight="1">
      <c r="A65" s="683" t="s">
        <v>522</v>
      </c>
      <c r="B65" s="683"/>
      <c r="C65" s="683"/>
      <c r="D65" s="740">
        <f>'Form 1 Inputs'!D108</f>
        <v>28717812</v>
      </c>
      <c r="E65" s="740">
        <f>'Form 1 Inputs'!E108</f>
        <v>3902913</v>
      </c>
      <c r="F65" s="689">
        <f>F51</f>
        <v>0.73673230862335481</v>
      </c>
      <c r="G65" s="683">
        <f>(D65+E65)*F65</f>
        <v>24032742.038217586</v>
      </c>
      <c r="H65" s="169"/>
      <c r="J65" s="170"/>
      <c r="L65" s="174"/>
      <c r="M65" s="174"/>
    </row>
    <row r="66" spans="1:14" ht="13.5" customHeight="1">
      <c r="A66" s="683" t="s">
        <v>296</v>
      </c>
      <c r="B66" s="683"/>
      <c r="C66" s="683"/>
      <c r="D66" s="683"/>
      <c r="E66" s="683"/>
      <c r="F66" s="714"/>
      <c r="G66" s="650">
        <f>SUM(G62:G65)</f>
        <v>295861039.96594065</v>
      </c>
      <c r="H66" s="165"/>
      <c r="I66" s="169"/>
      <c r="J66" s="168"/>
      <c r="K66" s="169"/>
      <c r="L66" s="165"/>
      <c r="M66" s="165"/>
      <c r="N66" s="165"/>
    </row>
    <row r="67" spans="1:14" ht="13.5" customHeight="1">
      <c r="A67" s="683"/>
      <c r="B67" s="683"/>
      <c r="C67" s="683"/>
      <c r="D67" s="683"/>
      <c r="E67" s="683"/>
      <c r="F67" s="683"/>
      <c r="G67" s="741"/>
      <c r="H67" s="165"/>
      <c r="I67" s="169"/>
      <c r="J67" s="175"/>
      <c r="K67" s="169"/>
      <c r="L67" s="169"/>
      <c r="M67" s="169"/>
      <c r="N67" s="165"/>
    </row>
    <row r="68" spans="1:14" ht="84" customHeight="1">
      <c r="A68" s="1724" t="s">
        <v>2906</v>
      </c>
      <c r="B68" s="1724"/>
      <c r="C68" s="1724"/>
      <c r="D68" s="1724"/>
      <c r="E68" s="1724"/>
      <c r="F68" s="1724"/>
      <c r="G68" s="1724"/>
      <c r="H68" s="165"/>
      <c r="I68" s="169"/>
      <c r="J68" s="175"/>
      <c r="K68" s="169"/>
      <c r="L68" s="169"/>
      <c r="M68" s="169"/>
      <c r="N68" s="165"/>
    </row>
    <row r="69" spans="1:14" ht="13.5" customHeight="1">
      <c r="A69" s="714"/>
      <c r="B69" s="642"/>
      <c r="C69" s="642"/>
      <c r="D69" s="732"/>
      <c r="E69" s="732"/>
      <c r="F69" s="714"/>
      <c r="G69" s="732"/>
      <c r="H69" s="2"/>
      <c r="I69" s="7"/>
      <c r="J69" s="165"/>
      <c r="K69" s="7"/>
      <c r="L69" s="2"/>
      <c r="M69" s="19"/>
      <c r="N69" s="171"/>
    </row>
    <row r="70" spans="1:14" ht="13.5" customHeight="1">
      <c r="A70" s="714"/>
      <c r="B70" s="642"/>
      <c r="C70" s="642"/>
      <c r="D70" s="732"/>
      <c r="E70" s="732"/>
      <c r="F70" s="684" t="s">
        <v>542</v>
      </c>
      <c r="G70" s="732"/>
      <c r="H70" s="2"/>
      <c r="I70" s="7"/>
      <c r="J70" s="165"/>
      <c r="K70" s="7"/>
      <c r="L70" s="2"/>
      <c r="M70" s="19"/>
      <c r="N70" s="171"/>
    </row>
    <row r="71" spans="1:14" ht="18.600000000000001">
      <c r="A71" s="660" t="s">
        <v>523</v>
      </c>
      <c r="B71" s="714"/>
      <c r="C71" s="642"/>
      <c r="D71" s="686" t="s">
        <v>2892</v>
      </c>
      <c r="E71" s="686" t="s">
        <v>2893</v>
      </c>
      <c r="F71" s="687" t="s">
        <v>1</v>
      </c>
      <c r="G71" s="686" t="s">
        <v>468</v>
      </c>
      <c r="H71" s="2"/>
      <c r="I71" s="177"/>
      <c r="J71" s="177"/>
      <c r="K71" s="177"/>
      <c r="L71" s="2"/>
      <c r="M71" s="19"/>
      <c r="N71" s="111"/>
    </row>
    <row r="72" spans="1:14" ht="13.5" customHeight="1">
      <c r="A72" s="642" t="s">
        <v>1537</v>
      </c>
      <c r="B72" s="642"/>
      <c r="C72" s="642"/>
      <c r="D72" s="690">
        <f>'Form 1 Inputs'!D64</f>
        <v>134011475</v>
      </c>
      <c r="E72" s="690">
        <f>'Form 1 Inputs'!E64</f>
        <v>71825460</v>
      </c>
      <c r="F72" s="742">
        <f>'Wrksht. C, Allocation Ratios'!I7</f>
        <v>0.50821559584268561</v>
      </c>
      <c r="G72" s="683">
        <f>(D72+E72)*F72</f>
        <v>104609540.56745715</v>
      </c>
      <c r="H72" s="22"/>
      <c r="J72" s="170"/>
      <c r="L72" s="174"/>
      <c r="M72" s="174"/>
    </row>
    <row r="73" spans="1:14" ht="13.5" customHeight="1">
      <c r="A73" s="642"/>
      <c r="B73" s="642" t="s">
        <v>817</v>
      </c>
      <c r="C73" s="714"/>
      <c r="D73" s="690">
        <f>'Form 1 Inputs'!D63</f>
        <v>0</v>
      </c>
      <c r="E73" s="690">
        <f>'Form 1 Inputs'!E63</f>
        <v>0</v>
      </c>
      <c r="F73" s="742">
        <f>F72</f>
        <v>0.50821559584268561</v>
      </c>
      <c r="G73" s="683">
        <f>(D73+E73)*F73</f>
        <v>0</v>
      </c>
      <c r="H73" s="22"/>
      <c r="J73" s="170"/>
      <c r="L73" s="174"/>
      <c r="M73" s="174"/>
    </row>
    <row r="74" spans="1:14" ht="13.5" customHeight="1">
      <c r="A74" s="642"/>
      <c r="B74" s="642" t="s">
        <v>1535</v>
      </c>
      <c r="C74" s="714"/>
      <c r="D74" s="690">
        <f>'Form 1 Inputs'!D65</f>
        <v>0</v>
      </c>
      <c r="E74" s="690">
        <f>'Form 1 Inputs'!E65</f>
        <v>0</v>
      </c>
      <c r="F74" s="742">
        <f>F72</f>
        <v>0.50821559584268561</v>
      </c>
      <c r="G74" s="683">
        <f>(D74+E74)*F74</f>
        <v>0</v>
      </c>
      <c r="H74" s="22"/>
      <c r="J74" s="170"/>
      <c r="L74" s="174"/>
      <c r="M74" s="174"/>
    </row>
    <row r="75" spans="1:14" ht="13.5" customHeight="1">
      <c r="A75" s="642"/>
      <c r="B75" s="482" t="s">
        <v>1536</v>
      </c>
      <c r="C75" s="714"/>
      <c r="D75" s="481">
        <v>0</v>
      </c>
      <c r="E75" s="481">
        <v>0</v>
      </c>
      <c r="F75" s="742">
        <f>F72</f>
        <v>0.50821559584268561</v>
      </c>
      <c r="G75" s="691">
        <f>(D75+E75)*F75</f>
        <v>0</v>
      </c>
      <c r="H75" s="22"/>
      <c r="J75" s="170"/>
      <c r="L75" s="174"/>
      <c r="M75" s="174"/>
    </row>
    <row r="76" spans="1:14" ht="13.5" customHeight="1">
      <c r="A76" s="642"/>
      <c r="B76" s="482" t="s">
        <v>1536</v>
      </c>
      <c r="C76" s="714"/>
      <c r="D76" s="483">
        <v>0</v>
      </c>
      <c r="E76" s="483">
        <v>0</v>
      </c>
      <c r="F76" s="742">
        <f>F72</f>
        <v>0.50821559584268561</v>
      </c>
      <c r="G76" s="737">
        <f>(D76+E76)*F76</f>
        <v>0</v>
      </c>
      <c r="H76" s="22"/>
      <c r="J76" s="232"/>
      <c r="L76" s="174"/>
      <c r="M76" s="174"/>
    </row>
    <row r="77" spans="1:14" ht="13.5" customHeight="1">
      <c r="A77" s="642" t="s">
        <v>548</v>
      </c>
      <c r="B77" s="714"/>
      <c r="C77" s="714"/>
      <c r="D77" s="690">
        <f>SUM(D72:D74)</f>
        <v>134011475</v>
      </c>
      <c r="E77" s="690">
        <f>SUM(E72:E74)</f>
        <v>71825460</v>
      </c>
      <c r="F77" s="724"/>
      <c r="G77" s="683">
        <f>SUM(G72:G76)</f>
        <v>104609540.56745715</v>
      </c>
      <c r="H77" s="2"/>
      <c r="J77" s="170"/>
      <c r="L77" s="13"/>
      <c r="M77" s="19"/>
      <c r="N77" s="164"/>
    </row>
    <row r="78" spans="1:14" ht="13.5" customHeight="1">
      <c r="A78" s="642"/>
      <c r="B78" s="714"/>
      <c r="C78" s="642"/>
      <c r="D78" s="690"/>
      <c r="E78" s="690"/>
      <c r="F78" s="684" t="s">
        <v>539</v>
      </c>
      <c r="G78" s="683"/>
      <c r="H78" s="2"/>
      <c r="J78" s="170"/>
      <c r="L78" s="13"/>
      <c r="M78" s="19"/>
      <c r="N78" s="164"/>
    </row>
    <row r="79" spans="1:14" ht="13.5" customHeight="1">
      <c r="A79" s="642"/>
      <c r="B79" s="743"/>
      <c r="C79" s="642"/>
      <c r="D79" s="683"/>
      <c r="E79" s="724"/>
      <c r="F79" s="687" t="s">
        <v>1</v>
      </c>
      <c r="G79" s="741"/>
      <c r="H79" s="2"/>
      <c r="I79" s="166"/>
      <c r="J79" s="166"/>
      <c r="K79" s="166"/>
      <c r="L79" s="162"/>
      <c r="M79" s="19"/>
      <c r="N79" s="182"/>
    </row>
    <row r="80" spans="1:14" ht="13.5" customHeight="1">
      <c r="A80" s="642" t="s">
        <v>1538</v>
      </c>
      <c r="B80" s="743"/>
      <c r="C80" s="642"/>
      <c r="D80" s="690">
        <f>'Form 1 Inputs'!D55</f>
        <v>6021416</v>
      </c>
      <c r="E80" s="690">
        <f>'Form 1 Inputs'!E55</f>
        <v>5772125</v>
      </c>
      <c r="F80" s="742">
        <f t="shared" ref="F80:F87" si="1">$F$51</f>
        <v>0.73673230862335481</v>
      </c>
      <c r="G80" s="683">
        <f t="shared" ref="G80:G87" si="2">(D80+E80)*F80</f>
        <v>8688682.6877741888</v>
      </c>
      <c r="H80" s="22"/>
      <c r="J80" s="170"/>
      <c r="L80" s="174"/>
      <c r="M80" s="174"/>
    </row>
    <row r="81" spans="1:14" ht="13.5" customHeight="1">
      <c r="A81" s="642"/>
      <c r="B81" s="642" t="s">
        <v>1539</v>
      </c>
      <c r="C81" s="714"/>
      <c r="D81" s="690">
        <f>'Form 1 Inputs'!D56</f>
        <v>88040</v>
      </c>
      <c r="E81" s="690">
        <f>'Form 1 Inputs'!E56</f>
        <v>16628</v>
      </c>
      <c r="F81" s="742">
        <f t="shared" si="1"/>
        <v>0.73673230862335481</v>
      </c>
      <c r="G81" s="683">
        <f t="shared" si="2"/>
        <v>77112.297278989296</v>
      </c>
      <c r="H81" s="22"/>
      <c r="J81" s="170"/>
      <c r="L81" s="174"/>
      <c r="M81" s="174"/>
    </row>
    <row r="82" spans="1:14" ht="13.5" customHeight="1">
      <c r="A82" s="642"/>
      <c r="B82" s="642" t="s">
        <v>1540</v>
      </c>
      <c r="C82" s="714"/>
      <c r="D82" s="690">
        <f>'Form 1 Inputs'!D58</f>
        <v>0</v>
      </c>
      <c r="E82" s="690">
        <f>'Form 1 Inputs'!E58</f>
        <v>0</v>
      </c>
      <c r="F82" s="742">
        <f t="shared" si="1"/>
        <v>0.73673230862335481</v>
      </c>
      <c r="G82" s="683">
        <f t="shared" si="2"/>
        <v>0</v>
      </c>
      <c r="H82" s="22"/>
      <c r="J82" s="170"/>
      <c r="L82" s="174"/>
      <c r="M82" s="174"/>
    </row>
    <row r="83" spans="1:14" ht="13.5" customHeight="1">
      <c r="A83" s="642"/>
      <c r="B83" s="642" t="s">
        <v>1541</v>
      </c>
      <c r="C83" s="714"/>
      <c r="D83" s="690">
        <f>'Form 1 Inputs'!D59</f>
        <v>233959</v>
      </c>
      <c r="E83" s="690">
        <f>'Form 1 Inputs'!E59</f>
        <v>45323</v>
      </c>
      <c r="F83" s="742">
        <f t="shared" si="1"/>
        <v>0.73673230862335481</v>
      </c>
      <c r="G83" s="683">
        <f t="shared" si="2"/>
        <v>205756.07261694779</v>
      </c>
      <c r="H83" s="22"/>
      <c r="J83" s="170"/>
      <c r="L83" s="174"/>
      <c r="M83" s="174"/>
    </row>
    <row r="84" spans="1:14" ht="13.5" customHeight="1">
      <c r="A84" s="642"/>
      <c r="B84" s="642" t="s">
        <v>1542</v>
      </c>
      <c r="C84" s="714"/>
      <c r="D84" s="690">
        <f>'Form 1 Inputs'!D61</f>
        <v>0</v>
      </c>
      <c r="E84" s="690">
        <f>'Form 1 Inputs'!E61</f>
        <v>0</v>
      </c>
      <c r="F84" s="742">
        <f t="shared" si="1"/>
        <v>0.73673230862335481</v>
      </c>
      <c r="G84" s="683">
        <f t="shared" si="2"/>
        <v>0</v>
      </c>
      <c r="H84" s="22"/>
      <c r="J84" s="170"/>
      <c r="L84" s="174"/>
      <c r="M84" s="174"/>
    </row>
    <row r="85" spans="1:14" ht="13.5" customHeight="1">
      <c r="A85" s="642"/>
      <c r="B85" s="642" t="s">
        <v>1543</v>
      </c>
      <c r="C85" s="714"/>
      <c r="D85" s="690">
        <f>'Form 1 Inputs'!D62</f>
        <v>25396</v>
      </c>
      <c r="E85" s="690">
        <f>'Form 1 Inputs'!E62</f>
        <v>3712</v>
      </c>
      <c r="F85" s="742">
        <f t="shared" si="1"/>
        <v>0.73673230862335481</v>
      </c>
      <c r="G85" s="683">
        <f t="shared" si="2"/>
        <v>21444.804039408613</v>
      </c>
      <c r="H85" s="22"/>
      <c r="J85" s="170"/>
      <c r="L85" s="174"/>
      <c r="M85" s="174"/>
    </row>
    <row r="86" spans="1:14" ht="13.5" customHeight="1">
      <c r="A86" s="642"/>
      <c r="B86" s="482" t="s">
        <v>1536</v>
      </c>
      <c r="C86" s="714"/>
      <c r="D86" s="481">
        <v>0</v>
      </c>
      <c r="E86" s="481">
        <v>0</v>
      </c>
      <c r="F86" s="742">
        <f t="shared" si="1"/>
        <v>0.73673230862335481</v>
      </c>
      <c r="G86" s="683">
        <f t="shared" si="2"/>
        <v>0</v>
      </c>
      <c r="H86" s="22"/>
      <c r="J86" s="170"/>
      <c r="L86" s="174"/>
      <c r="M86" s="174"/>
    </row>
    <row r="87" spans="1:14" ht="13.5" customHeight="1">
      <c r="A87" s="642"/>
      <c r="B87" s="482" t="s">
        <v>1536</v>
      </c>
      <c r="C87" s="714"/>
      <c r="D87" s="483">
        <v>0</v>
      </c>
      <c r="E87" s="483">
        <v>0</v>
      </c>
      <c r="F87" s="742">
        <f t="shared" si="1"/>
        <v>0.73673230862335481</v>
      </c>
      <c r="G87" s="737">
        <f t="shared" si="2"/>
        <v>0</v>
      </c>
      <c r="H87" s="22"/>
      <c r="J87" s="170"/>
      <c r="L87" s="174"/>
      <c r="M87" s="174"/>
    </row>
    <row r="88" spans="1:14" ht="13.5" customHeight="1">
      <c r="A88" s="642" t="s">
        <v>546</v>
      </c>
      <c r="B88" s="714"/>
      <c r="C88" s="714"/>
      <c r="D88" s="744">
        <f>SUM(D80:D85)</f>
        <v>6368811</v>
      </c>
      <c r="E88" s="744">
        <f>SUM(E80:E85)</f>
        <v>5837788</v>
      </c>
      <c r="F88" s="724"/>
      <c r="G88" s="683">
        <f>(D88+E88)*'Wrksht. C, Allocation Ratios'!J21</f>
        <v>8992995.8617095351</v>
      </c>
      <c r="H88" s="2"/>
      <c r="J88" s="166"/>
      <c r="L88" s="180"/>
      <c r="M88" s="19"/>
      <c r="N88" s="180"/>
    </row>
    <row r="89" spans="1:14" ht="13.5" customHeight="1" thickBot="1">
      <c r="A89" s="642" t="s">
        <v>547</v>
      </c>
      <c r="B89" s="642"/>
      <c r="C89" s="714"/>
      <c r="D89" s="745">
        <f>D77+D88</f>
        <v>140380286</v>
      </c>
      <c r="E89" s="745">
        <f>E77+E88</f>
        <v>77663248</v>
      </c>
      <c r="F89" s="724"/>
      <c r="G89" s="650">
        <f>G77+G88</f>
        <v>113602536.42916669</v>
      </c>
      <c r="H89" s="2"/>
      <c r="J89" s="172"/>
      <c r="L89" s="179"/>
      <c r="M89" s="19"/>
      <c r="N89" s="179"/>
    </row>
    <row r="90" spans="1:14" ht="13.5" customHeight="1" thickTop="1">
      <c r="A90" s="728"/>
      <c r="B90" s="642"/>
      <c r="C90" s="642"/>
      <c r="D90" s="642"/>
      <c r="E90" s="732"/>
      <c r="F90" s="732"/>
      <c r="G90" s="732"/>
      <c r="I90" s="2"/>
      <c r="J90" s="2"/>
      <c r="K90" s="2"/>
      <c r="L90" s="2"/>
      <c r="M90" s="2"/>
    </row>
    <row r="91" spans="1:14" ht="18.600000000000001">
      <c r="A91" s="685" t="s">
        <v>749</v>
      </c>
      <c r="B91" s="683"/>
      <c r="C91" s="683"/>
      <c r="D91" s="683"/>
      <c r="E91" s="683"/>
      <c r="F91" s="683"/>
      <c r="G91" s="683"/>
      <c r="H91" s="165"/>
      <c r="I91" s="169"/>
      <c r="J91" s="168"/>
      <c r="K91" s="169"/>
      <c r="L91" s="165"/>
      <c r="M91" s="165"/>
      <c r="N91" s="165"/>
    </row>
    <row r="92" spans="1:14" ht="13.5" customHeight="1">
      <c r="A92" s="739"/>
      <c r="B92" s="683"/>
      <c r="C92" s="683"/>
      <c r="D92" s="683"/>
      <c r="E92" s="683"/>
      <c r="F92" s="683"/>
      <c r="G92" s="683"/>
      <c r="H92" s="165"/>
      <c r="I92" s="169"/>
      <c r="J92" s="168"/>
      <c r="K92" s="169"/>
      <c r="L92" s="165"/>
      <c r="M92" s="165"/>
      <c r="N92" s="165"/>
    </row>
    <row r="93" spans="1:14" ht="13.5" customHeight="1">
      <c r="A93" s="683" t="s">
        <v>1117</v>
      </c>
      <c r="B93" s="683"/>
      <c r="C93" s="683"/>
      <c r="D93" s="746">
        <f>1-(((1-D98)*(1-D97))/(1-D98*D97*D99))</f>
        <v>0.20999999999999996</v>
      </c>
      <c r="E93" s="683"/>
      <c r="F93" s="683"/>
      <c r="G93" s="683"/>
      <c r="H93" s="165"/>
      <c r="I93" s="169"/>
      <c r="J93" s="165"/>
      <c r="K93" s="169"/>
      <c r="L93" s="165"/>
      <c r="M93" s="165"/>
      <c r="N93" s="165"/>
    </row>
    <row r="94" spans="1:14" ht="13.5" customHeight="1">
      <c r="A94" s="683" t="s">
        <v>1118</v>
      </c>
      <c r="B94" s="683"/>
      <c r="C94" s="714"/>
      <c r="D94" s="746">
        <f>(D93/(1-D93))*(1-'Item 6, Wghted Cost of Cap.'!F5/'Item 6, Wghted Cost of Cap.'!F8)</f>
        <v>0.18595040801761792</v>
      </c>
      <c r="E94" s="683"/>
      <c r="F94" s="683"/>
      <c r="G94" s="683"/>
      <c r="H94" s="165"/>
      <c r="I94" s="169"/>
      <c r="J94" s="165"/>
      <c r="K94" s="169"/>
      <c r="L94" s="165"/>
      <c r="M94" s="165"/>
      <c r="N94" s="165"/>
    </row>
    <row r="95" spans="1:14" ht="15.6">
      <c r="A95" s="683" t="s">
        <v>524</v>
      </c>
      <c r="B95" s="683"/>
      <c r="C95" s="683"/>
      <c r="D95" s="683"/>
      <c r="E95" s="683"/>
      <c r="F95" s="683"/>
      <c r="G95" s="683"/>
      <c r="H95" s="165"/>
      <c r="I95" s="169"/>
      <c r="J95" s="165"/>
      <c r="K95" s="169"/>
      <c r="L95" s="165"/>
      <c r="M95" s="165"/>
      <c r="N95" s="165"/>
    </row>
    <row r="96" spans="1:14" ht="13.5" customHeight="1">
      <c r="A96" s="683" t="s">
        <v>525</v>
      </c>
      <c r="B96" s="683"/>
      <c r="C96" s="683"/>
      <c r="D96" s="694"/>
      <c r="E96" s="683"/>
      <c r="F96" s="683"/>
      <c r="G96" s="683"/>
      <c r="H96" s="165"/>
      <c r="I96" s="169"/>
      <c r="J96" s="165"/>
      <c r="K96" s="169"/>
      <c r="L96" s="165"/>
      <c r="M96" s="165"/>
      <c r="N96" s="165"/>
    </row>
    <row r="97" spans="1:14" ht="13.5" customHeight="1">
      <c r="A97" s="683"/>
      <c r="B97" s="683" t="s">
        <v>2323</v>
      </c>
      <c r="C97" s="684"/>
      <c r="D97" s="1587">
        <v>0.21</v>
      </c>
      <c r="E97" s="683"/>
      <c r="F97" s="683"/>
      <c r="G97" s="683"/>
      <c r="H97" s="165"/>
      <c r="I97" s="169"/>
      <c r="J97" s="165"/>
      <c r="K97" s="169"/>
      <c r="L97" s="165"/>
      <c r="M97" s="165"/>
      <c r="N97" s="165"/>
    </row>
    <row r="98" spans="1:14" ht="13.5" customHeight="1">
      <c r="A98" s="683"/>
      <c r="B98" s="683" t="s">
        <v>2324</v>
      </c>
      <c r="C98" s="684"/>
      <c r="D98" s="1587">
        <v>0</v>
      </c>
      <c r="E98" s="683"/>
      <c r="F98" s="683"/>
      <c r="G98" s="683"/>
      <c r="H98" s="165"/>
      <c r="I98" s="169"/>
      <c r="J98" s="165"/>
      <c r="K98" s="169"/>
      <c r="L98" s="165"/>
      <c r="M98" s="165"/>
      <c r="N98" s="165"/>
    </row>
    <row r="99" spans="1:14" ht="13.5" customHeight="1">
      <c r="A99" s="683"/>
      <c r="B99" s="683" t="s">
        <v>2325</v>
      </c>
      <c r="C99" s="684"/>
      <c r="D99" s="1587">
        <v>0</v>
      </c>
      <c r="E99" s="683"/>
      <c r="F99" s="683"/>
      <c r="G99" s="683"/>
      <c r="H99" s="165"/>
      <c r="I99" s="169"/>
      <c r="J99" s="165"/>
      <c r="K99" s="169"/>
      <c r="L99" s="165"/>
      <c r="M99" s="165"/>
      <c r="N99" s="165"/>
    </row>
    <row r="100" spans="1:14" ht="13.5" customHeight="1">
      <c r="A100" s="683"/>
      <c r="B100" s="705"/>
      <c r="C100" s="747"/>
      <c r="D100" s="705"/>
      <c r="E100" s="683"/>
      <c r="F100" s="683"/>
      <c r="G100" s="683"/>
      <c r="H100" s="165"/>
      <c r="I100" s="169"/>
      <c r="J100" s="165"/>
      <c r="K100" s="169"/>
      <c r="L100" s="165"/>
      <c r="M100" s="165"/>
      <c r="N100" s="165"/>
    </row>
    <row r="101" spans="1:14" ht="13.5" customHeight="1">
      <c r="A101" s="683" t="s">
        <v>545</v>
      </c>
      <c r="B101" s="714"/>
      <c r="C101" s="748">
        <f>1/(1-D93)</f>
        <v>1.2658227848101264</v>
      </c>
      <c r="D101" s="714"/>
      <c r="E101" s="714"/>
      <c r="F101" s="714"/>
      <c r="G101" s="714"/>
      <c r="H101" s="165"/>
      <c r="I101" s="19"/>
      <c r="J101" s="19"/>
      <c r="K101" s="19"/>
      <c r="L101" s="165"/>
      <c r="M101" s="165"/>
      <c r="N101" s="171"/>
    </row>
    <row r="102" spans="1:14" ht="13.5" customHeight="1">
      <c r="A102" s="683"/>
      <c r="B102" s="683"/>
      <c r="C102" s="683"/>
      <c r="D102" s="683"/>
      <c r="E102" s="683"/>
      <c r="F102" s="683"/>
      <c r="G102" s="683"/>
      <c r="H102" s="165"/>
      <c r="I102" s="165"/>
      <c r="J102" s="165"/>
      <c r="K102" s="165"/>
      <c r="L102" s="165"/>
      <c r="M102" s="165"/>
      <c r="N102" s="165"/>
    </row>
    <row r="103" spans="1:14" ht="13.5" customHeight="1">
      <c r="A103" s="683" t="s">
        <v>1040</v>
      </c>
      <c r="B103" s="683"/>
      <c r="C103" s="683"/>
      <c r="D103" s="683"/>
      <c r="E103" s="683"/>
      <c r="F103" s="683"/>
      <c r="G103" s="683">
        <f>D94*('Item 3, Rate Base'!F9*'Item 6, Wghted Cost of Cap.'!F8)</f>
        <v>51296932.869559325</v>
      </c>
      <c r="H103" s="165"/>
      <c r="I103" s="19"/>
      <c r="J103" s="165"/>
      <c r="K103" s="165"/>
      <c r="L103" s="165"/>
      <c r="M103" s="165"/>
      <c r="N103" s="165"/>
    </row>
    <row r="104" spans="1:14" ht="13.5" customHeight="1">
      <c r="A104" s="683" t="s">
        <v>544</v>
      </c>
      <c r="B104" s="683"/>
      <c r="C104" s="683"/>
      <c r="D104" s="683"/>
      <c r="E104" s="683"/>
      <c r="F104" s="683"/>
      <c r="G104" s="683">
        <f>-C101*G111</f>
        <v>-2098877.1906602886</v>
      </c>
      <c r="H104" s="126"/>
      <c r="I104" s="165"/>
      <c r="J104" s="165"/>
      <c r="K104" s="165"/>
      <c r="L104" s="165"/>
      <c r="M104" s="165"/>
      <c r="N104" s="165"/>
    </row>
    <row r="105" spans="1:14" ht="15.6">
      <c r="A105" s="688" t="s">
        <v>526</v>
      </c>
      <c r="B105" s="688"/>
      <c r="C105" s="688"/>
      <c r="D105" s="688"/>
      <c r="E105" s="688"/>
      <c r="F105" s="688"/>
      <c r="G105" s="688">
        <f>-'Wrsht. Q, Domestic Mfg. Ded.'!G49</f>
        <v>0</v>
      </c>
      <c r="H105" s="126"/>
      <c r="I105" s="165"/>
      <c r="J105" s="165"/>
      <c r="K105" s="165"/>
      <c r="L105" s="165"/>
      <c r="M105" s="165"/>
      <c r="N105" s="165"/>
    </row>
    <row r="106" spans="1:14" ht="15.6">
      <c r="A106" s="688" t="s">
        <v>2312</v>
      </c>
      <c r="B106" s="688"/>
      <c r="C106" s="688"/>
      <c r="D106" s="688"/>
      <c r="E106" s="688"/>
      <c r="F106" s="688"/>
      <c r="G106" s="1588">
        <v>-30985014</v>
      </c>
      <c r="H106" s="126"/>
      <c r="I106" s="165"/>
      <c r="J106" s="165"/>
      <c r="K106" s="165"/>
      <c r="L106" s="165"/>
      <c r="M106" s="165"/>
      <c r="N106" s="165"/>
    </row>
    <row r="107" spans="1:14" ht="15.6">
      <c r="A107" s="683" t="s">
        <v>1019</v>
      </c>
      <c r="B107" s="683"/>
      <c r="C107" s="683"/>
      <c r="D107" s="683"/>
      <c r="E107" s="683"/>
      <c r="F107" s="683"/>
      <c r="G107" s="650">
        <f>SUM(G103:G106)</f>
        <v>18213041.678899035</v>
      </c>
      <c r="H107" s="165"/>
      <c r="I107" s="19"/>
      <c r="J107" s="165"/>
      <c r="K107" s="165"/>
      <c r="L107" s="165"/>
      <c r="M107" s="165"/>
      <c r="N107" s="165"/>
    </row>
    <row r="108" spans="1:14">
      <c r="A108" s="714"/>
      <c r="B108" s="714"/>
      <c r="C108" s="714"/>
      <c r="D108" s="714"/>
      <c r="E108" s="714"/>
      <c r="F108" s="714"/>
      <c r="G108" s="714"/>
    </row>
    <row r="109" spans="1:14" ht="15.6">
      <c r="A109" s="714"/>
      <c r="B109" s="714"/>
      <c r="C109" s="714"/>
      <c r="D109" s="732"/>
      <c r="E109" s="732"/>
      <c r="F109" s="684" t="s">
        <v>543</v>
      </c>
      <c r="G109" s="663"/>
    </row>
    <row r="110" spans="1:14" ht="15.6">
      <c r="A110" s="714"/>
      <c r="B110" s="714"/>
      <c r="C110" s="714"/>
      <c r="D110" s="686" t="s">
        <v>2892</v>
      </c>
      <c r="E110" s="686" t="s">
        <v>2893</v>
      </c>
      <c r="F110" s="687" t="s">
        <v>1</v>
      </c>
      <c r="G110" s="686" t="s">
        <v>468</v>
      </c>
    </row>
    <row r="111" spans="1:14" ht="15.6">
      <c r="A111" s="683" t="s">
        <v>0</v>
      </c>
      <c r="B111" s="683"/>
      <c r="C111" s="683"/>
      <c r="D111" s="690">
        <f>'Wrksht. R, Allocated ITC'!E11</f>
        <v>2159700</v>
      </c>
      <c r="E111" s="690">
        <f>'Wrksht. R, Allocated ITC'!G11</f>
        <v>1682927</v>
      </c>
      <c r="F111" s="689">
        <f>'Wrksht. C, Allocation Ratios'!I18</f>
        <v>0.43150505646830362</v>
      </c>
      <c r="G111" s="683">
        <f>(D111+E111)*F111</f>
        <v>1658112.9806216282</v>
      </c>
    </row>
  </sheetData>
  <sheetProtection sheet="1" objects="1" scenarios="1"/>
  <mergeCells count="6">
    <mergeCell ref="A68:G68"/>
    <mergeCell ref="A1:G1"/>
    <mergeCell ref="A57:G57"/>
    <mergeCell ref="A2:G2"/>
    <mergeCell ref="A58:G58"/>
    <mergeCell ref="B4:F4"/>
  </mergeCells>
  <phoneticPr fontId="0" type="noConversion"/>
  <printOptions horizontalCentered="1"/>
  <pageMargins left="0.7" right="0.7" top="1.21" bottom="0.75" header="0.85" footer="0.5"/>
  <pageSetup scale="59" fitToHeight="0" orientation="portrait" r:id="rId1"/>
  <headerFooter alignWithMargins="0">
    <oddHeader xml:space="preserve">&amp;C&amp;"Times New Roman,Bold"&amp;16ATTACHMENT D, Page &amp;P of &amp;N
EVERGY&amp;R&amp;"Times New Roman,Regular"&amp;14
</oddHeader>
    <oddFooter>&amp;R&amp;1#&amp;"Calibri"&amp;10&amp;KA80000Internal Use Only</oddFooter>
  </headerFooter>
  <rowBreaks count="1" manualBreakCount="1">
    <brk id="5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35"/>
  <sheetViews>
    <sheetView view="pageBreakPreview" zoomScale="90" zoomScaleNormal="75" zoomScaleSheetLayoutView="90" workbookViewId="0">
      <selection sqref="A1:G1"/>
    </sheetView>
  </sheetViews>
  <sheetFormatPr defaultColWidth="9.109375" defaultRowHeight="13.2"/>
  <cols>
    <col min="1" max="1" width="12.6640625" style="1" customWidth="1"/>
    <col min="2" max="2" width="15.6640625" style="1" customWidth="1"/>
    <col min="3" max="3" width="31.44140625" style="1" customWidth="1"/>
    <col min="4" max="4" width="16.88671875" style="1" bestFit="1" customWidth="1"/>
    <col min="5" max="5" width="14.44140625" style="1" customWidth="1"/>
    <col min="6" max="6" width="16.109375" style="1" bestFit="1" customWidth="1"/>
    <col min="7" max="7" width="14" style="1" bestFit="1" customWidth="1"/>
    <col min="8" max="9" width="14.6640625" style="1" customWidth="1"/>
    <col min="10" max="10" width="23.5546875" style="1" customWidth="1"/>
    <col min="11" max="11" width="3.109375" style="1" customWidth="1"/>
    <col min="12" max="12" width="10.6640625" style="1" customWidth="1"/>
    <col min="13" max="13" width="15.6640625" style="1" customWidth="1"/>
    <col min="14" max="14" width="3.6640625" style="1" customWidth="1"/>
    <col min="15" max="15" width="10.109375" style="1" customWidth="1"/>
    <col min="16" max="16" width="9.109375" style="1" hidden="1" customWidth="1"/>
    <col min="17" max="16384" width="9.109375" style="1"/>
  </cols>
  <sheetData>
    <row r="1" spans="1:14" ht="20.399999999999999">
      <c r="A1" s="1730" t="s">
        <v>1263</v>
      </c>
      <c r="B1" s="1730"/>
      <c r="C1" s="1730"/>
      <c r="D1" s="1730"/>
      <c r="E1" s="1730"/>
      <c r="F1" s="1730"/>
      <c r="G1" s="1730"/>
      <c r="H1" s="150"/>
    </row>
    <row r="2" spans="1:14" ht="20.399999999999999">
      <c r="A2" s="1731" t="str">
        <f>'Item 2,  Demand Chg. Calc.'!A2:G2</f>
        <v>For Contract Year Beginning June 1, 2024, Based on 2023 Data</v>
      </c>
      <c r="B2" s="1731"/>
      <c r="C2" s="1731"/>
      <c r="D2" s="1731"/>
      <c r="E2" s="1731"/>
      <c r="F2" s="1731"/>
      <c r="G2" s="1731"/>
      <c r="H2" s="150"/>
    </row>
    <row r="3" spans="1:14" ht="20.399999999999999">
      <c r="A3" s="150"/>
      <c r="B3" s="150"/>
      <c r="C3" s="150"/>
      <c r="D3" s="150"/>
      <c r="E3" s="150"/>
      <c r="F3" s="150"/>
      <c r="G3" s="150"/>
      <c r="H3" s="150"/>
    </row>
    <row r="4" spans="1:14" ht="20.399999999999999">
      <c r="A4" s="153"/>
      <c r="B4" s="1732" t="s">
        <v>1042</v>
      </c>
      <c r="C4" s="1733"/>
      <c r="D4" s="1733"/>
      <c r="E4" s="1733"/>
      <c r="F4" s="1734"/>
      <c r="G4" s="150"/>
      <c r="H4" s="150"/>
    </row>
    <row r="5" spans="1:14" ht="20.399999999999999">
      <c r="A5" s="153"/>
      <c r="B5" s="155" t="s">
        <v>208</v>
      </c>
      <c r="C5" s="157"/>
      <c r="D5" s="157"/>
      <c r="E5" s="157"/>
      <c r="F5" s="245">
        <f>G32</f>
        <v>57163056.690000027</v>
      </c>
      <c r="G5" s="150"/>
      <c r="H5" s="150"/>
    </row>
    <row r="6" spans="1:14" ht="20.399999999999999">
      <c r="A6" s="153"/>
      <c r="B6" s="156" t="s">
        <v>977</v>
      </c>
      <c r="C6" s="160"/>
      <c r="D6" s="160"/>
      <c r="E6" s="157"/>
      <c r="F6" s="245">
        <f>'Wrksht. D, Rev Cre, Divsr &amp; Eng'!G23</f>
        <v>16185362.709192181</v>
      </c>
      <c r="G6" s="150"/>
      <c r="H6" s="150"/>
    </row>
    <row r="7" spans="1:14" ht="20.399999999999999">
      <c r="A7" s="153"/>
      <c r="B7" s="156" t="s">
        <v>202</v>
      </c>
      <c r="C7" s="160"/>
      <c r="D7" s="160"/>
      <c r="E7" s="157"/>
      <c r="F7" s="245">
        <f>F5-F6</f>
        <v>40977693.980807848</v>
      </c>
      <c r="G7" s="150"/>
      <c r="H7" s="150"/>
    </row>
    <row r="8" spans="1:14" ht="20.399999999999999">
      <c r="A8" s="153"/>
      <c r="B8" s="156" t="s">
        <v>203</v>
      </c>
      <c r="C8" s="160"/>
      <c r="D8" s="160"/>
      <c r="E8" s="157"/>
      <c r="F8" s="245">
        <f>'Wrksht. D, Rev Cre, Divsr &amp; Eng'!E52</f>
        <v>27015998.157739125</v>
      </c>
      <c r="G8" s="150"/>
      <c r="H8" s="150"/>
    </row>
    <row r="9" spans="1:14" ht="20.399999999999999">
      <c r="A9" s="153"/>
      <c r="B9" s="156" t="s">
        <v>204</v>
      </c>
      <c r="C9" s="159"/>
      <c r="D9" s="159"/>
      <c r="E9" s="161"/>
      <c r="F9" s="246">
        <f>F7/F8</f>
        <v>1.5167936324821369</v>
      </c>
      <c r="G9" s="150"/>
      <c r="H9" s="150"/>
    </row>
    <row r="10" spans="1:14" ht="20.399999999999999">
      <c r="A10" s="2"/>
      <c r="B10" s="3"/>
      <c r="C10" s="3"/>
      <c r="D10" s="3"/>
      <c r="E10" s="3"/>
      <c r="F10" s="3"/>
      <c r="G10" s="150"/>
      <c r="H10" s="150"/>
    </row>
    <row r="11" spans="1:14" ht="20.399999999999999">
      <c r="A11" s="2"/>
      <c r="B11" s="1732" t="s">
        <v>274</v>
      </c>
      <c r="C11" s="1733"/>
      <c r="D11" s="1733"/>
      <c r="E11" s="1733"/>
      <c r="F11" s="1734"/>
      <c r="G11" s="150"/>
      <c r="H11" s="150"/>
    </row>
    <row r="12" spans="1:14" ht="20.399999999999999">
      <c r="A12" s="2"/>
      <c r="B12" s="155" t="s">
        <v>205</v>
      </c>
      <c r="C12" s="157"/>
      <c r="D12" s="157"/>
      <c r="E12" s="157"/>
      <c r="F12" s="245">
        <f>'Wrksht. V, OSSM Amount'!G11</f>
        <v>0</v>
      </c>
      <c r="G12" s="150"/>
      <c r="H12" s="150"/>
    </row>
    <row r="13" spans="1:14" ht="20.399999999999999">
      <c r="A13" s="2"/>
      <c r="B13" s="156" t="s">
        <v>206</v>
      </c>
      <c r="C13" s="160"/>
      <c r="D13" s="160"/>
      <c r="E13" s="157"/>
      <c r="F13" s="245">
        <f>'Wrksht. D, Rev Cre, Divsr &amp; Eng'!E50</f>
        <v>28108694</v>
      </c>
      <c r="G13" s="150"/>
      <c r="H13" s="150"/>
    </row>
    <row r="14" spans="1:14" ht="20.399999999999999">
      <c r="A14" s="2"/>
      <c r="B14" s="156" t="s">
        <v>207</v>
      </c>
      <c r="C14" s="159"/>
      <c r="D14" s="159"/>
      <c r="E14" s="161"/>
      <c r="F14" s="246">
        <f>F12/F13</f>
        <v>0</v>
      </c>
      <c r="G14" s="150"/>
      <c r="H14" s="150"/>
    </row>
    <row r="15" spans="1:14" ht="20.399999999999999">
      <c r="A15" s="150"/>
      <c r="B15" s="150"/>
      <c r="C15" s="150"/>
      <c r="D15" s="150"/>
      <c r="E15" s="150"/>
      <c r="F15" s="150"/>
      <c r="G15" s="150"/>
      <c r="H15" s="150"/>
    </row>
    <row r="16" spans="1:14" ht="15.6">
      <c r="A16" s="165"/>
      <c r="B16" s="3"/>
      <c r="C16" s="3"/>
      <c r="D16" s="3"/>
      <c r="E16" s="2"/>
      <c r="F16" s="171" t="s">
        <v>534</v>
      </c>
      <c r="G16" s="2"/>
      <c r="I16" s="2"/>
      <c r="J16" s="2"/>
      <c r="K16" s="2"/>
      <c r="L16" s="2"/>
      <c r="M16" s="2"/>
      <c r="N16" s="2"/>
    </row>
    <row r="17" spans="1:14" ht="18.600000000000001">
      <c r="A17" s="12" t="s">
        <v>1041</v>
      </c>
      <c r="B17" s="3"/>
      <c r="C17" s="3"/>
      <c r="D17" s="113" t="s">
        <v>2892</v>
      </c>
      <c r="E17" s="113" t="s">
        <v>2893</v>
      </c>
      <c r="F17" s="113" t="s">
        <v>1</v>
      </c>
      <c r="G17" s="113" t="s">
        <v>468</v>
      </c>
      <c r="J17" s="15"/>
      <c r="K17" s="2"/>
      <c r="L17" s="2"/>
      <c r="M17" s="2"/>
      <c r="N17" s="2"/>
    </row>
    <row r="18" spans="1:14" s="376" customFormat="1" ht="15.6">
      <c r="A18" s="356" t="s">
        <v>197</v>
      </c>
      <c r="B18" s="163"/>
      <c r="C18" s="163"/>
      <c r="D18" s="374">
        <f>+'Wrksht. N, Account 501'!C21</f>
        <v>141031949.54000002</v>
      </c>
      <c r="E18" s="374">
        <f>+'Wrksht. N, Account 501'!F21</f>
        <v>124263118.78999999</v>
      </c>
      <c r="F18" s="243">
        <v>1</v>
      </c>
      <c r="G18" s="168">
        <f>(D18+E18)*F18</f>
        <v>265295068.33000001</v>
      </c>
      <c r="J18" s="422"/>
      <c r="K18" s="163"/>
      <c r="L18" s="163"/>
      <c r="M18" s="163"/>
      <c r="N18" s="163"/>
    </row>
    <row r="19" spans="1:14" s="376" customFormat="1" ht="15.6">
      <c r="A19" s="356" t="s">
        <v>198</v>
      </c>
      <c r="B19" s="163"/>
      <c r="C19" s="163"/>
      <c r="D19" s="423">
        <f>-'Wrksht. N, Account 501'!D21</f>
        <v>-139249202.12</v>
      </c>
      <c r="E19" s="423">
        <f>-'Wrksht. N, Account 501'!G21</f>
        <v>-124724015.52</v>
      </c>
      <c r="F19" s="243">
        <v>1</v>
      </c>
      <c r="G19" s="212">
        <f>(D19+E19)*F19</f>
        <v>-263973217.63999999</v>
      </c>
      <c r="J19" s="422"/>
      <c r="K19" s="163"/>
      <c r="L19" s="163"/>
      <c r="M19" s="163"/>
      <c r="N19" s="163"/>
    </row>
    <row r="20" spans="1:14" s="376" customFormat="1" ht="15.6">
      <c r="A20" s="163" t="s">
        <v>474</v>
      </c>
      <c r="B20" s="163"/>
      <c r="C20" s="354"/>
      <c r="D20" s="374">
        <f>SUM(D18:D19)</f>
        <v>1782747.4200000167</v>
      </c>
      <c r="E20" s="374">
        <f>SUM(E18:E19)</f>
        <v>-460896.73000000417</v>
      </c>
      <c r="F20" s="375"/>
      <c r="G20" s="374">
        <f>SUM(G18:G19)</f>
        <v>1321850.6900000274</v>
      </c>
      <c r="J20" s="422"/>
      <c r="K20" s="163"/>
      <c r="L20" s="163"/>
      <c r="M20" s="163"/>
      <c r="N20" s="163"/>
    </row>
    <row r="21" spans="1:14" s="376" customFormat="1" ht="13.5" customHeight="1">
      <c r="A21" s="163"/>
      <c r="B21" s="163"/>
      <c r="C21" s="354"/>
      <c r="D21" s="374"/>
      <c r="E21" s="374"/>
      <c r="F21" s="375"/>
      <c r="G21" s="374"/>
      <c r="I21" s="377"/>
      <c r="K21" s="163"/>
      <c r="L21" s="163"/>
      <c r="M21" s="163"/>
      <c r="N21" s="163"/>
    </row>
    <row r="22" spans="1:14" ht="13.5" customHeight="1">
      <c r="A22" s="21"/>
      <c r="B22" s="2"/>
      <c r="C22" s="2"/>
      <c r="D22" s="165"/>
      <c r="E22" s="167"/>
      <c r="F22" s="182"/>
      <c r="G22" s="167"/>
      <c r="I22" s="14"/>
      <c r="J22" s="14"/>
      <c r="K22" s="2"/>
      <c r="L22" s="2"/>
      <c r="M22" s="2"/>
      <c r="N22" s="2"/>
    </row>
    <row r="23" spans="1:14" ht="13.5" customHeight="1">
      <c r="A23" s="120" t="s">
        <v>209</v>
      </c>
      <c r="B23" s="2"/>
      <c r="C23" s="2"/>
      <c r="D23" s="165">
        <f>-'Item 4, Demand Rel. Exp.'!D45</f>
        <v>203551824</v>
      </c>
      <c r="E23" s="165">
        <f>-'Item 4, Demand Rel. Exp.'!E45</f>
        <v>38089595</v>
      </c>
      <c r="F23" s="243">
        <v>1</v>
      </c>
      <c r="G23" s="165">
        <f>(D23+E23)*F23</f>
        <v>241641419</v>
      </c>
      <c r="I23" s="181"/>
      <c r="K23" s="2"/>
      <c r="L23" s="2"/>
      <c r="M23" s="2"/>
      <c r="N23" s="2"/>
    </row>
    <row r="24" spans="1:14" ht="13.5" customHeight="1">
      <c r="A24" s="120" t="s">
        <v>210</v>
      </c>
      <c r="B24" s="2"/>
      <c r="C24" s="2"/>
      <c r="D24" s="165">
        <f>-'Item 4, Demand Rel. Exp.'!D46</f>
        <v>-26819140</v>
      </c>
      <c r="E24" s="165">
        <f>-'Item 4, Demand Rel. Exp.'!E46</f>
        <v>0</v>
      </c>
      <c r="F24" s="243">
        <v>1</v>
      </c>
      <c r="G24" s="165">
        <f>(D24+E24)*F24</f>
        <v>-26819140</v>
      </c>
      <c r="I24" s="114"/>
      <c r="K24" s="2"/>
      <c r="L24" s="2"/>
      <c r="M24" s="2"/>
      <c r="N24" s="2"/>
    </row>
    <row r="25" spans="1:14" ht="15.6">
      <c r="A25" s="120" t="s">
        <v>2229</v>
      </c>
      <c r="B25" s="2"/>
      <c r="C25" s="2"/>
      <c r="D25" s="395">
        <f>-'Form 1 Inputs'!D107</f>
        <v>-174885325</v>
      </c>
      <c r="E25" s="395">
        <f>-'Form 1 Inputs'!E107</f>
        <v>-38304018</v>
      </c>
      <c r="F25" s="243">
        <v>1</v>
      </c>
      <c r="G25" s="220">
        <f>(D25+E25)*F25</f>
        <v>-213189343</v>
      </c>
      <c r="K25" s="2"/>
      <c r="L25" s="2"/>
      <c r="M25" s="2"/>
      <c r="N25" s="2"/>
    </row>
    <row r="26" spans="1:14" ht="13.5" customHeight="1">
      <c r="A26" s="2" t="s">
        <v>474</v>
      </c>
      <c r="B26" s="2"/>
      <c r="C26" s="20"/>
      <c r="D26" s="233">
        <f>SUM(D23:D25)</f>
        <v>1847359</v>
      </c>
      <c r="E26" s="233">
        <f>SUM(E23:E25)</f>
        <v>-214423</v>
      </c>
      <c r="F26" s="244"/>
      <c r="G26" s="233">
        <f>SUM(G23:G25)</f>
        <v>1632936</v>
      </c>
      <c r="I26" s="114"/>
      <c r="K26" s="2"/>
      <c r="L26" s="2"/>
      <c r="M26" s="2"/>
      <c r="N26" s="2"/>
    </row>
    <row r="27" spans="1:14" ht="13.5" customHeight="1">
      <c r="A27" s="2"/>
      <c r="B27" s="2"/>
      <c r="C27" s="2"/>
      <c r="D27" s="165"/>
      <c r="E27" s="173"/>
      <c r="F27" s="241"/>
      <c r="G27" s="173"/>
      <c r="I27" s="114"/>
      <c r="J27" s="114"/>
      <c r="K27" s="2"/>
      <c r="L27" s="2"/>
      <c r="M27" s="2"/>
      <c r="N27" s="2"/>
    </row>
    <row r="28" spans="1:14" ht="13.5" customHeight="1">
      <c r="A28" s="2" t="s">
        <v>211</v>
      </c>
      <c r="B28" s="2"/>
      <c r="C28" s="2"/>
      <c r="D28" s="233">
        <f>-SUM('Item 4, Demand Rel. Exp.'!D23:D25)</f>
        <v>22173562</v>
      </c>
      <c r="E28" s="233">
        <f>-SUM('Item 4, Demand Rel. Exp.'!E23:E25)</f>
        <v>14658158</v>
      </c>
      <c r="F28" s="243">
        <v>1</v>
      </c>
      <c r="G28" s="165">
        <f>(D28+E28)*F28</f>
        <v>36831720</v>
      </c>
      <c r="I28" s="20"/>
      <c r="K28" s="2"/>
      <c r="L28" s="2"/>
      <c r="M28" s="2"/>
      <c r="N28" s="2"/>
    </row>
    <row r="29" spans="1:14" ht="13.5" customHeight="1">
      <c r="A29" s="2" t="s">
        <v>212</v>
      </c>
      <c r="B29" s="2"/>
      <c r="C29" s="2"/>
      <c r="D29" s="234">
        <f>-SUM('Item 4, Demand Rel. Exp.'!D29:D31)</f>
        <v>0</v>
      </c>
      <c r="E29" s="234">
        <f>-SUM('Item 4, Demand Rel. Exp.'!E29:E31)</f>
        <v>17376550</v>
      </c>
      <c r="F29" s="243">
        <v>1</v>
      </c>
      <c r="G29" s="220">
        <f>(D29+E29)*F29</f>
        <v>17376550</v>
      </c>
      <c r="I29" s="162"/>
      <c r="K29" s="2"/>
      <c r="L29" s="2"/>
      <c r="M29" s="2"/>
      <c r="N29" s="2"/>
    </row>
    <row r="30" spans="1:14" ht="13.5" customHeight="1">
      <c r="A30" s="2" t="s">
        <v>474</v>
      </c>
      <c r="B30" s="2"/>
      <c r="C30" s="20"/>
      <c r="D30" s="165">
        <f>SUM(D28:D29)</f>
        <v>22173562</v>
      </c>
      <c r="E30" s="165">
        <f>SUM(E28:E29)</f>
        <v>32034708</v>
      </c>
      <c r="F30" s="20"/>
      <c r="G30" s="165">
        <f>SUM(G28:G29)</f>
        <v>54208270</v>
      </c>
      <c r="I30" s="20"/>
      <c r="K30" s="2"/>
      <c r="L30" s="2"/>
      <c r="M30" s="2"/>
      <c r="N30" s="2"/>
    </row>
    <row r="31" spans="1:14" ht="13.5" customHeight="1">
      <c r="A31" s="2"/>
      <c r="B31" s="2"/>
      <c r="C31" s="2"/>
      <c r="D31" s="2"/>
      <c r="E31" s="20"/>
      <c r="F31" s="20"/>
      <c r="G31" s="165"/>
      <c r="I31" s="20"/>
      <c r="J31" s="181"/>
      <c r="K31" s="2"/>
      <c r="L31" s="2"/>
      <c r="M31" s="2"/>
      <c r="N31" s="2"/>
    </row>
    <row r="32" spans="1:14" ht="13.5" customHeight="1">
      <c r="A32" s="4"/>
      <c r="B32" s="2"/>
      <c r="C32" s="2"/>
      <c r="D32" s="2"/>
      <c r="E32" s="20" t="s">
        <v>1544</v>
      </c>
      <c r="F32" s="20"/>
      <c r="G32" s="247">
        <f>G20+G26+G30</f>
        <v>57163056.690000027</v>
      </c>
      <c r="I32" s="20"/>
      <c r="K32" s="2"/>
      <c r="L32" s="2"/>
      <c r="M32" s="2"/>
      <c r="N32" s="2"/>
    </row>
    <row r="33" spans="1:14" ht="13.5" customHeight="1">
      <c r="A33" s="21"/>
      <c r="B33" s="55"/>
      <c r="C33" s="2"/>
      <c r="D33" s="2"/>
      <c r="E33" s="2"/>
      <c r="F33" s="2"/>
      <c r="G33" s="2"/>
      <c r="H33" s="2"/>
      <c r="I33" s="2"/>
      <c r="J33" s="2"/>
      <c r="K33" s="2"/>
      <c r="L33" s="2"/>
      <c r="M33" s="2"/>
      <c r="N33" s="2"/>
    </row>
    <row r="34" spans="1:14" ht="15.6">
      <c r="A34" s="2"/>
      <c r="B34" s="55"/>
    </row>
    <row r="35" spans="1:14">
      <c r="B35" s="55"/>
    </row>
  </sheetData>
  <sheetProtection sheet="1" objects="1" scenarios="1"/>
  <mergeCells count="4">
    <mergeCell ref="A1:G1"/>
    <mergeCell ref="A2:G2"/>
    <mergeCell ref="B4:F4"/>
    <mergeCell ref="B11:F11"/>
  </mergeCells>
  <printOptions horizontalCentered="1"/>
  <pageMargins left="0.75" right="0.75" top="0.92" bottom="1" header="0.5" footer="0.5"/>
  <pageSetup scale="75" orientation="portrait" r:id="rId1"/>
  <headerFooter alignWithMargins="0">
    <oddHeader>&amp;C&amp;"Times New Roman,Bold"&amp;16ATTACHMENT D, Page &amp;P of &amp;N
EVERGY</oddHeader>
    <oddFooter>&amp;R&amp;1#&amp;"Calibri"&amp;10&amp;KA80000Internal Use Only</oddFooter>
  </headerFooter>
  <colBreaks count="1" manualBreakCount="1">
    <brk id="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L188"/>
  <sheetViews>
    <sheetView view="pageBreakPreview" zoomScale="90" zoomScaleNormal="100" zoomScaleSheetLayoutView="90" workbookViewId="0">
      <selection activeCell="F8" sqref="F8"/>
    </sheetView>
  </sheetViews>
  <sheetFormatPr defaultColWidth="9.109375" defaultRowHeight="13.2"/>
  <cols>
    <col min="1" max="1" width="5.5546875" style="125" customWidth="1"/>
    <col min="2" max="3" width="19.6640625" style="125" customWidth="1"/>
    <col min="4" max="6" width="15.6640625" style="125" customWidth="1"/>
    <col min="7" max="7" width="17.6640625" style="125" customWidth="1"/>
    <col min="8" max="8" width="5.6640625" style="125" customWidth="1"/>
    <col min="9" max="9" width="9.33203125" style="125" customWidth="1"/>
    <col min="10" max="10" width="10.88671875" style="125" bestFit="1" customWidth="1"/>
    <col min="11" max="12" width="7.6640625" style="125" customWidth="1"/>
    <col min="13" max="13" width="9.6640625" style="125" customWidth="1"/>
    <col min="14" max="14" width="9.109375" style="125" customWidth="1"/>
    <col min="15" max="15" width="10.5546875" style="125" customWidth="1"/>
    <col min="16" max="16" width="9.109375" style="125" customWidth="1"/>
    <col min="17" max="17" width="4.44140625" style="125" customWidth="1"/>
    <col min="18" max="16384" width="9.109375" style="125"/>
  </cols>
  <sheetData>
    <row r="1" spans="1:12" s="19" customFormat="1" ht="20.399999999999999">
      <c r="A1" s="1730" t="s">
        <v>23</v>
      </c>
      <c r="B1" s="1730"/>
      <c r="C1" s="1730"/>
      <c r="D1" s="1730"/>
      <c r="E1" s="1730"/>
      <c r="F1" s="1730"/>
      <c r="G1" s="1730"/>
      <c r="H1" s="1730"/>
    </row>
    <row r="2" spans="1:12" s="19" customFormat="1" ht="19.2">
      <c r="A2" s="1731" t="str">
        <f>'Item 2,  Demand Chg. Calc.'!A2:G2</f>
        <v>For Contract Year Beginning June 1, 2024, Based on 2023 Data</v>
      </c>
      <c r="B2" s="1731"/>
      <c r="C2" s="1731"/>
      <c r="D2" s="1731"/>
      <c r="E2" s="1731"/>
      <c r="F2" s="1731"/>
      <c r="G2" s="1731"/>
      <c r="H2" s="1731"/>
    </row>
    <row r="3" spans="1:12" s="19" customFormat="1" ht="14.1" customHeight="1">
      <c r="B3" s="1"/>
      <c r="C3" s="1"/>
      <c r="D3" s="1"/>
      <c r="E3" s="1"/>
      <c r="F3" s="1"/>
      <c r="G3" s="5"/>
      <c r="H3" s="6"/>
    </row>
    <row r="4" spans="1:12" s="19" customFormat="1" ht="20.399999999999999">
      <c r="A4" s="185"/>
      <c r="B4" s="198" t="s">
        <v>1265</v>
      </c>
      <c r="C4" s="199" t="s">
        <v>512</v>
      </c>
      <c r="D4" s="200" t="s">
        <v>214</v>
      </c>
      <c r="E4" s="200" t="s">
        <v>215</v>
      </c>
      <c r="F4" s="200" t="s">
        <v>472</v>
      </c>
      <c r="G4" s="201"/>
      <c r="H4" s="185"/>
      <c r="I4" s="16"/>
      <c r="J4" s="153"/>
      <c r="K4" s="153"/>
      <c r="L4" s="153"/>
    </row>
    <row r="5" spans="1:12" s="19" customFormat="1" ht="20.399999999999999">
      <c r="A5" s="185"/>
      <c r="B5" s="203" t="s">
        <v>216</v>
      </c>
      <c r="C5" s="206">
        <f>'Item 6, Wghted Cost of Cap.'!G18</f>
        <v>4626940000</v>
      </c>
      <c r="D5" s="209">
        <f>IF(C5&gt;0,C5/$C$8,0)</f>
        <v>0.48493508021930881</v>
      </c>
      <c r="E5" s="209">
        <f>'Wrksht. U, LTD Cost 1'!T41</f>
        <v>4.4253698878603656E-2</v>
      </c>
      <c r="F5" s="194">
        <f>D5*E5</f>
        <v>2.1460171015696802E-2</v>
      </c>
      <c r="G5" s="202" t="s">
        <v>93</v>
      </c>
      <c r="H5" s="185"/>
      <c r="I5" s="16"/>
      <c r="J5" s="153"/>
      <c r="K5" s="153"/>
      <c r="L5" s="153"/>
    </row>
    <row r="6" spans="1:12" s="19" customFormat="1" ht="20.399999999999999">
      <c r="A6" s="185"/>
      <c r="B6" s="204" t="s">
        <v>217</v>
      </c>
      <c r="C6" s="207">
        <f>'Item 6, Wghted Cost of Cap.'!G22</f>
        <v>0</v>
      </c>
      <c r="D6" s="210">
        <f>IF(C6&gt;0,C6/$C$8,0)</f>
        <v>0</v>
      </c>
      <c r="E6" s="210">
        <f>IF(C6&gt;0,'Item 6, Wghted Cost of Cap.'!G23/'Item 6, Wghted Cost of Cap.'!C6,0)</f>
        <v>0</v>
      </c>
      <c r="F6" s="195">
        <f>D6*E6</f>
        <v>0</v>
      </c>
      <c r="G6" s="202"/>
      <c r="H6" s="185"/>
      <c r="I6" s="16"/>
      <c r="J6" s="153"/>
      <c r="K6" s="153"/>
      <c r="L6" s="153"/>
    </row>
    <row r="7" spans="1:12" s="19" customFormat="1" ht="20.399999999999999">
      <c r="A7" s="185"/>
      <c r="B7" s="205" t="s">
        <v>218</v>
      </c>
      <c r="C7" s="208">
        <f>'Item 6, Wghted Cost of Cap.'!G31</f>
        <v>4914419635</v>
      </c>
      <c r="D7" s="211">
        <f>IF(C7&gt;0,IF(C7/$C$8&gt;0.6886,0.6886,C7/$C$8),0)</f>
        <v>0.51506491978069124</v>
      </c>
      <c r="E7" s="432">
        <v>9.7000000000000003E-2</v>
      </c>
      <c r="F7" s="196">
        <f>D7*E7</f>
        <v>4.9961297218727052E-2</v>
      </c>
      <c r="G7" s="202"/>
      <c r="H7" s="185"/>
      <c r="I7" s="16"/>
      <c r="J7" s="153"/>
      <c r="K7" s="153"/>
      <c r="L7" s="153"/>
    </row>
    <row r="8" spans="1:12" s="19" customFormat="1" ht="22.5" customHeight="1">
      <c r="A8" s="185"/>
      <c r="B8" s="178" t="s">
        <v>474</v>
      </c>
      <c r="C8" s="183">
        <f>SUM(C5:C7)</f>
        <v>9541359635</v>
      </c>
      <c r="D8" s="197"/>
      <c r="E8" s="197"/>
      <c r="F8" s="268">
        <f>SUM(F5:F7)</f>
        <v>7.1421468234423857E-2</v>
      </c>
      <c r="G8" s="269" t="s">
        <v>94</v>
      </c>
      <c r="H8" s="185"/>
      <c r="I8" s="16"/>
      <c r="J8" s="153"/>
      <c r="K8" s="153"/>
      <c r="L8" s="153"/>
    </row>
    <row r="9" spans="1:12" s="19" customFormat="1" ht="20.399999999999999">
      <c r="A9" s="187"/>
      <c r="B9" s="153"/>
      <c r="C9" s="153"/>
      <c r="D9" s="153"/>
      <c r="E9" s="153"/>
      <c r="F9" s="153"/>
      <c r="G9" s="270" t="s">
        <v>1252</v>
      </c>
      <c r="H9" s="186"/>
      <c r="I9" s="158"/>
      <c r="J9" s="188"/>
      <c r="K9" s="189"/>
      <c r="L9" s="158"/>
    </row>
    <row r="10" spans="1:12" s="19" customFormat="1" ht="20.399999999999999">
      <c r="A10" s="187"/>
      <c r="B10" s="153"/>
      <c r="C10" s="153"/>
      <c r="D10" s="153"/>
      <c r="E10" s="153"/>
      <c r="F10" s="153"/>
      <c r="G10" s="270" t="s">
        <v>1253</v>
      </c>
      <c r="H10" s="186"/>
      <c r="I10" s="158"/>
      <c r="J10" s="188"/>
      <c r="K10" s="189"/>
      <c r="L10" s="158"/>
    </row>
    <row r="11" spans="1:12" s="19" customFormat="1" ht="20.399999999999999">
      <c r="A11" s="187"/>
      <c r="B11" s="153"/>
      <c r="C11" s="153"/>
      <c r="D11" s="153"/>
      <c r="E11" s="153"/>
      <c r="F11" s="153"/>
      <c r="G11" s="270"/>
      <c r="H11" s="186"/>
      <c r="I11" s="158"/>
      <c r="J11" s="188"/>
      <c r="K11" s="189"/>
      <c r="L11" s="158"/>
    </row>
    <row r="12" spans="1:12" s="19" customFormat="1" ht="19.2">
      <c r="A12" s="12"/>
      <c r="C12" s="2"/>
      <c r="D12" s="2"/>
      <c r="E12" s="2"/>
      <c r="F12" s="2"/>
      <c r="G12" s="13"/>
      <c r="H12" s="153"/>
      <c r="I12" s="158"/>
      <c r="J12" s="188"/>
      <c r="K12" s="190"/>
      <c r="L12" s="158"/>
    </row>
    <row r="13" spans="1:12" s="19" customFormat="1" ht="19.2">
      <c r="A13" s="12"/>
      <c r="B13" s="12" t="s">
        <v>213</v>
      </c>
      <c r="C13" s="2"/>
      <c r="E13" s="113" t="s">
        <v>2892</v>
      </c>
      <c r="F13" s="113" t="s">
        <v>2893</v>
      </c>
      <c r="G13" s="113" t="s">
        <v>468</v>
      </c>
      <c r="H13" s="153"/>
      <c r="I13" s="158"/>
      <c r="J13" s="188"/>
      <c r="K13" s="189"/>
      <c r="L13" s="158"/>
    </row>
    <row r="14" spans="1:12" s="19" customFormat="1" ht="19.2">
      <c r="A14" s="12"/>
      <c r="B14" s="2" t="s">
        <v>199</v>
      </c>
      <c r="C14" s="2"/>
      <c r="E14" s="168">
        <f>'Form 1 Inputs'!D14</f>
        <v>4005500000</v>
      </c>
      <c r="F14" s="168">
        <f>'Form 1 Inputs'!E14</f>
        <v>621440000</v>
      </c>
      <c r="G14" s="165">
        <f>SUM(E14:F14)</f>
        <v>4626940000</v>
      </c>
      <c r="H14" s="153"/>
      <c r="I14" s="158"/>
      <c r="J14" s="188"/>
      <c r="K14" s="189"/>
      <c r="L14" s="158"/>
    </row>
    <row r="15" spans="1:12" s="19" customFormat="1" ht="19.2">
      <c r="A15" s="12"/>
      <c r="B15" s="163" t="s">
        <v>200</v>
      </c>
      <c r="C15" s="2"/>
      <c r="E15" s="168">
        <f>'Form 1 Inputs'!D15</f>
        <v>0</v>
      </c>
      <c r="F15" s="168">
        <f>'Form 1 Inputs'!E15</f>
        <v>0</v>
      </c>
      <c r="G15" s="165">
        <f>SUM(E15:F15)</f>
        <v>0</v>
      </c>
      <c r="H15" s="153"/>
      <c r="I15" s="158"/>
      <c r="J15" s="188"/>
      <c r="K15" s="189"/>
      <c r="L15" s="158"/>
    </row>
    <row r="16" spans="1:12" s="19" customFormat="1" ht="19.2">
      <c r="A16" s="12"/>
      <c r="B16" s="163" t="s">
        <v>2482</v>
      </c>
      <c r="C16" s="2"/>
      <c r="E16" s="168">
        <f>'Form 1 Inputs'!D16</f>
        <v>0</v>
      </c>
      <c r="F16" s="168">
        <f>'Form 1 Inputs'!E16</f>
        <v>0</v>
      </c>
      <c r="G16" s="165">
        <f>SUM(E16:F16)</f>
        <v>0</v>
      </c>
      <c r="H16" s="153"/>
      <c r="I16" s="158"/>
      <c r="J16" s="188"/>
      <c r="K16" s="189"/>
      <c r="L16" s="158"/>
    </row>
    <row r="17" spans="1:12" s="19" customFormat="1" ht="19.2">
      <c r="A17" s="12"/>
      <c r="B17" s="2" t="s">
        <v>201</v>
      </c>
      <c r="C17" s="2"/>
      <c r="E17" s="168">
        <f>'Form 1 Inputs'!D17</f>
        <v>0</v>
      </c>
      <c r="F17" s="168">
        <f>'Form 1 Inputs'!E17</f>
        <v>0</v>
      </c>
      <c r="G17" s="220">
        <f>SUM(E17:F17)</f>
        <v>0</v>
      </c>
      <c r="H17" s="153"/>
      <c r="I17" s="158"/>
      <c r="J17" s="188"/>
      <c r="K17" s="189"/>
      <c r="L17" s="158"/>
    </row>
    <row r="18" spans="1:12" s="19" customFormat="1" ht="19.2">
      <c r="A18" s="12"/>
      <c r="B18" s="2" t="s">
        <v>1264</v>
      </c>
      <c r="C18" s="2"/>
      <c r="E18" s="168"/>
      <c r="F18" s="168"/>
      <c r="G18" s="396">
        <f>+(G14-G15+G16+G17)</f>
        <v>4626940000</v>
      </c>
      <c r="H18" s="153"/>
      <c r="I18" s="158"/>
      <c r="J18" s="188"/>
      <c r="K18" s="189"/>
      <c r="L18" s="158"/>
    </row>
    <row r="19" spans="1:12" ht="19.2">
      <c r="A19" s="12"/>
      <c r="B19" s="2"/>
      <c r="C19" s="2"/>
      <c r="E19" s="2"/>
      <c r="F19" s="2"/>
      <c r="G19" s="2"/>
      <c r="H19" s="153"/>
      <c r="I19" s="158"/>
      <c r="J19" s="188"/>
      <c r="K19" s="191"/>
      <c r="L19" s="158"/>
    </row>
    <row r="20" spans="1:12" ht="19.2">
      <c r="A20" s="12"/>
      <c r="C20" s="2"/>
      <c r="E20" s="2"/>
      <c r="F20" s="2"/>
      <c r="G20" s="2"/>
      <c r="H20" s="153"/>
      <c r="I20" s="158"/>
      <c r="J20" s="158"/>
      <c r="K20" s="190"/>
      <c r="L20" s="158"/>
    </row>
    <row r="21" spans="1:12" ht="19.2">
      <c r="A21" s="12"/>
      <c r="B21" s="12" t="s">
        <v>1267</v>
      </c>
      <c r="C21" s="2"/>
      <c r="E21" s="111"/>
      <c r="F21" s="111"/>
      <c r="G21" s="111"/>
      <c r="H21" s="153"/>
      <c r="I21" s="158"/>
      <c r="J21" s="158"/>
      <c r="K21" s="158"/>
      <c r="L21" s="158"/>
    </row>
    <row r="22" spans="1:12" ht="19.2">
      <c r="A22" s="12"/>
      <c r="B22" s="13" t="s">
        <v>240</v>
      </c>
      <c r="C22" s="2"/>
      <c r="E22" s="396">
        <f>'Form 1 Inputs'!D10</f>
        <v>0</v>
      </c>
      <c r="F22" s="174">
        <f>'Form 1 Inputs'!E10</f>
        <v>0</v>
      </c>
      <c r="G22" s="168">
        <f>E22+F22</f>
        <v>0</v>
      </c>
      <c r="H22" s="153"/>
      <c r="I22" s="158"/>
      <c r="J22" s="158"/>
      <c r="K22" s="158"/>
      <c r="L22" s="158"/>
    </row>
    <row r="23" spans="1:12" ht="19.2">
      <c r="A23" s="12"/>
      <c r="B23" s="13" t="s">
        <v>241</v>
      </c>
      <c r="C23" s="2"/>
      <c r="E23" s="168">
        <f>ABS('Form 1 Inputs'!D28)</f>
        <v>0</v>
      </c>
      <c r="F23" s="168">
        <f>ABS('Form 1 Inputs'!E28)</f>
        <v>0</v>
      </c>
      <c r="G23" s="168">
        <f>E23+F23</f>
        <v>0</v>
      </c>
      <c r="H23" s="153"/>
      <c r="I23" s="158"/>
      <c r="J23" s="192"/>
      <c r="K23" s="158"/>
      <c r="L23" s="158"/>
    </row>
    <row r="24" spans="1:12" ht="19.2">
      <c r="A24" s="12"/>
      <c r="B24" s="2"/>
      <c r="C24" s="2"/>
      <c r="E24" s="168"/>
      <c r="F24" s="168"/>
      <c r="G24" s="168"/>
      <c r="H24" s="153"/>
      <c r="I24" s="158"/>
      <c r="J24" s="192"/>
      <c r="K24" s="158"/>
      <c r="L24" s="158"/>
    </row>
    <row r="25" spans="1:12" ht="19.2">
      <c r="A25" s="12"/>
      <c r="C25" s="2"/>
      <c r="E25" s="168"/>
      <c r="F25" s="168"/>
      <c r="G25" s="168"/>
      <c r="H25" s="153"/>
      <c r="I25" s="158"/>
      <c r="J25" s="158"/>
      <c r="K25" s="158"/>
      <c r="L25" s="158"/>
    </row>
    <row r="26" spans="1:12" ht="19.2">
      <c r="A26" s="12"/>
      <c r="B26" s="12" t="s">
        <v>1269</v>
      </c>
      <c r="C26" s="2"/>
      <c r="E26" s="111"/>
      <c r="F26" s="111"/>
      <c r="G26" s="111"/>
      <c r="H26" s="153"/>
      <c r="I26" s="158"/>
      <c r="J26" s="158"/>
      <c r="K26" s="158"/>
      <c r="L26" s="158"/>
    </row>
    <row r="27" spans="1:12" ht="19.2">
      <c r="A27" s="12"/>
      <c r="B27" s="13" t="s">
        <v>2230</v>
      </c>
      <c r="C27" s="2"/>
      <c r="E27" s="168">
        <f>'Form 1 Inputs'!D13</f>
        <v>4914419635</v>
      </c>
      <c r="F27" s="168">
        <v>0</v>
      </c>
      <c r="G27" s="168">
        <f>E27</f>
        <v>4914419635</v>
      </c>
      <c r="H27" s="153"/>
      <c r="I27" s="158"/>
      <c r="J27" s="158"/>
      <c r="K27" s="158"/>
      <c r="L27" s="158"/>
    </row>
    <row r="28" spans="1:12" ht="19.2">
      <c r="A28" s="12"/>
      <c r="B28" s="13" t="s">
        <v>1904</v>
      </c>
      <c r="C28" s="2"/>
      <c r="E28" s="168">
        <f>E22</f>
        <v>0</v>
      </c>
      <c r="F28" s="168">
        <f>F22</f>
        <v>0</v>
      </c>
      <c r="G28" s="168">
        <f>E28+F28</f>
        <v>0</v>
      </c>
      <c r="H28" s="153"/>
      <c r="I28" s="158"/>
      <c r="J28" s="158"/>
      <c r="K28" s="158"/>
      <c r="L28" s="158"/>
    </row>
    <row r="29" spans="1:12" ht="19.2">
      <c r="A29" s="12"/>
      <c r="B29" s="13" t="s">
        <v>2231</v>
      </c>
      <c r="C29" s="2"/>
      <c r="E29" s="168">
        <f>'Form 1 Inputs'!D12</f>
        <v>0</v>
      </c>
      <c r="F29" s="168">
        <f>'Form 1 Inputs'!E12</f>
        <v>0</v>
      </c>
      <c r="G29" s="168">
        <f>E29+F29</f>
        <v>0</v>
      </c>
      <c r="H29" s="153"/>
      <c r="I29" s="158"/>
      <c r="J29" s="158"/>
      <c r="K29" s="158"/>
      <c r="L29" s="158"/>
    </row>
    <row r="30" spans="1:12" ht="19.2">
      <c r="A30" s="12"/>
      <c r="B30" s="1735" t="s">
        <v>3544</v>
      </c>
      <c r="C30" s="1735"/>
      <c r="D30" s="1735"/>
      <c r="E30" s="168">
        <f>783927139-1424381970</f>
        <v>-640454831</v>
      </c>
      <c r="F30" s="168">
        <f>ABS('Form 1 Inputs'!E11)</f>
        <v>0</v>
      </c>
      <c r="G30" s="212">
        <f>IF(E30+F30&lt;0,0,E30+F30)</f>
        <v>0</v>
      </c>
      <c r="H30" s="153"/>
      <c r="I30" s="153"/>
      <c r="J30" s="193"/>
      <c r="K30" s="153"/>
      <c r="L30" s="153"/>
    </row>
    <row r="31" spans="1:12" ht="19.2">
      <c r="A31" s="12"/>
      <c r="B31" s="13" t="s">
        <v>473</v>
      </c>
      <c r="C31" s="2"/>
      <c r="E31" s="165"/>
      <c r="F31" s="165"/>
      <c r="G31" s="396">
        <f>+(G27-G28-G29-G30)</f>
        <v>4914419635</v>
      </c>
      <c r="H31" s="153"/>
      <c r="I31" s="153"/>
      <c r="J31" s="153"/>
      <c r="K31" s="153"/>
      <c r="L31" s="153"/>
    </row>
    <row r="32" spans="1:12" ht="19.2">
      <c r="A32" s="12"/>
      <c r="B32" s="2"/>
      <c r="C32" s="2"/>
      <c r="D32" s="15"/>
      <c r="E32" s="15"/>
      <c r="F32" s="15"/>
      <c r="G32" s="13"/>
      <c r="H32" s="153"/>
      <c r="I32" s="153"/>
      <c r="J32" s="153"/>
      <c r="K32" s="153"/>
      <c r="L32" s="153"/>
    </row>
    <row r="33" spans="1:12" ht="19.2">
      <c r="A33" s="19"/>
      <c r="B33" s="21" t="s">
        <v>2991</v>
      </c>
      <c r="C33" s="2"/>
      <c r="D33" s="15"/>
      <c r="E33" s="15"/>
      <c r="F33" s="15"/>
      <c r="G33" s="13"/>
      <c r="H33" s="153"/>
      <c r="I33" s="153"/>
      <c r="J33" s="153"/>
      <c r="K33" s="153"/>
      <c r="L33" s="153"/>
    </row>
    <row r="34" spans="1:12" ht="18">
      <c r="A34" s="19"/>
      <c r="B34" s="2" t="s">
        <v>514</v>
      </c>
      <c r="C34" s="2"/>
      <c r="D34" s="15"/>
      <c r="E34" s="15"/>
      <c r="F34" s="15"/>
      <c r="G34" s="13"/>
      <c r="H34" s="153"/>
      <c r="I34" s="153"/>
      <c r="J34" s="153"/>
      <c r="K34" s="153"/>
      <c r="L34" s="153"/>
    </row>
    <row r="35" spans="1:12" ht="18">
      <c r="A35" s="19"/>
      <c r="B35" s="2" t="s">
        <v>398</v>
      </c>
      <c r="C35" s="2"/>
      <c r="D35" s="15"/>
      <c r="E35" s="15"/>
      <c r="F35" s="15"/>
      <c r="G35" s="13"/>
      <c r="H35" s="153"/>
      <c r="I35" s="153"/>
      <c r="J35" s="153"/>
      <c r="K35" s="153"/>
      <c r="L35" s="153"/>
    </row>
    <row r="36" spans="1:12" ht="18">
      <c r="A36" s="19"/>
      <c r="B36" s="2" t="s">
        <v>219</v>
      </c>
      <c r="C36" s="2"/>
      <c r="D36" s="15"/>
      <c r="E36" s="15"/>
      <c r="F36" s="15"/>
      <c r="G36" s="13"/>
      <c r="H36" s="153"/>
      <c r="I36" s="153"/>
      <c r="J36" s="153"/>
      <c r="K36" s="153"/>
      <c r="L36" s="153"/>
    </row>
    <row r="37" spans="1:12" ht="18">
      <c r="A37" s="19"/>
      <c r="B37" s="2" t="s">
        <v>1268</v>
      </c>
      <c r="C37" s="2"/>
      <c r="D37" s="15"/>
      <c r="E37" s="15"/>
      <c r="F37" s="15"/>
      <c r="G37" s="13"/>
      <c r="H37" s="153"/>
      <c r="I37" s="153"/>
      <c r="J37" s="153"/>
      <c r="K37" s="153"/>
      <c r="L37" s="153"/>
    </row>
    <row r="38" spans="1:12" ht="18">
      <c r="A38" s="19"/>
      <c r="B38" s="163" t="s">
        <v>2613</v>
      </c>
      <c r="C38" s="163"/>
      <c r="D38" s="422"/>
      <c r="E38" s="422"/>
      <c r="F38" s="422"/>
      <c r="G38" s="433"/>
      <c r="H38" s="153"/>
      <c r="I38" s="153"/>
      <c r="J38" s="153"/>
      <c r="K38" s="153"/>
      <c r="L38" s="153"/>
    </row>
    <row r="39" spans="1:12" ht="19.2">
      <c r="A39" s="12"/>
      <c r="B39" s="163" t="s">
        <v>2326</v>
      </c>
      <c r="C39" s="163"/>
      <c r="D39" s="422"/>
      <c r="E39" s="422"/>
      <c r="F39" s="422"/>
      <c r="G39" s="433"/>
      <c r="H39" s="153"/>
      <c r="I39" s="153"/>
      <c r="J39" s="153"/>
      <c r="K39" s="153"/>
      <c r="L39" s="153"/>
    </row>
    <row r="40" spans="1:12" ht="19.2">
      <c r="A40" s="12"/>
      <c r="B40" s="21" t="s">
        <v>513</v>
      </c>
      <c r="C40" s="2"/>
      <c r="D40" s="15"/>
      <c r="E40" s="15"/>
      <c r="F40" s="15"/>
      <c r="G40" s="13"/>
      <c r="H40" s="153"/>
      <c r="I40" s="153"/>
      <c r="J40" s="153"/>
      <c r="K40" s="153"/>
      <c r="L40" s="153"/>
    </row>
    <row r="41" spans="1:12" ht="19.2">
      <c r="A41" s="12"/>
      <c r="B41" s="434" t="s">
        <v>2992</v>
      </c>
      <c r="C41" s="435"/>
      <c r="D41" s="436"/>
      <c r="E41" s="436"/>
      <c r="F41" s="436"/>
      <c r="G41" s="437"/>
      <c r="H41" s="383"/>
      <c r="I41" s="153"/>
      <c r="J41" s="153"/>
      <c r="K41" s="153"/>
      <c r="L41" s="153"/>
    </row>
    <row r="42" spans="1:12" ht="18">
      <c r="A42" s="19"/>
      <c r="B42" s="1333" t="s">
        <v>3537</v>
      </c>
      <c r="C42" s="435"/>
      <c r="D42" s="435"/>
      <c r="E42" s="435"/>
      <c r="F42" s="435"/>
      <c r="G42" s="438"/>
      <c r="H42" s="383"/>
      <c r="I42" s="153"/>
      <c r="J42" s="153"/>
      <c r="K42" s="153"/>
      <c r="L42" s="153"/>
    </row>
    <row r="43" spans="1:12" ht="18">
      <c r="A43" s="19"/>
      <c r="B43" s="1333" t="s">
        <v>3538</v>
      </c>
      <c r="C43" s="435"/>
      <c r="D43" s="435"/>
      <c r="E43" s="435"/>
      <c r="F43" s="435"/>
      <c r="G43" s="438"/>
      <c r="H43" s="383"/>
      <c r="I43" s="153"/>
      <c r="J43" s="153"/>
      <c r="K43" s="153"/>
      <c r="L43" s="153"/>
    </row>
    <row r="44" spans="1:12" ht="18">
      <c r="A44" s="19"/>
      <c r="B44" s="1333" t="s">
        <v>3539</v>
      </c>
      <c r="C44" s="435"/>
      <c r="D44" s="435"/>
      <c r="E44" s="435"/>
      <c r="F44" s="435"/>
      <c r="G44" s="438"/>
      <c r="H44" s="383"/>
      <c r="I44" s="153"/>
      <c r="J44" s="153"/>
      <c r="K44" s="153"/>
      <c r="L44" s="153"/>
    </row>
    <row r="45" spans="1:12" ht="18">
      <c r="A45" s="19"/>
      <c r="B45" s="439"/>
      <c r="C45" s="435"/>
      <c r="D45" s="435"/>
      <c r="E45" s="435"/>
      <c r="F45" s="435"/>
      <c r="G45" s="438"/>
      <c r="H45" s="383"/>
      <c r="I45" s="153"/>
      <c r="J45" s="153"/>
      <c r="K45" s="153"/>
      <c r="L45" s="153"/>
    </row>
    <row r="46" spans="1:12" ht="18">
      <c r="A46" s="153"/>
      <c r="B46" s="153"/>
      <c r="C46" s="153"/>
      <c r="D46" s="153"/>
      <c r="E46" s="153"/>
      <c r="F46" s="153"/>
      <c r="G46" s="153"/>
      <c r="H46" s="153"/>
      <c r="I46" s="153"/>
      <c r="J46" s="153"/>
      <c r="K46" s="153"/>
      <c r="L46" s="153"/>
    </row>
    <row r="47" spans="1:12" ht="18">
      <c r="A47" s="153"/>
      <c r="B47" s="153"/>
      <c r="C47" s="153"/>
      <c r="D47" s="153"/>
      <c r="E47" s="153"/>
      <c r="F47" s="153"/>
      <c r="G47" s="153"/>
      <c r="H47" s="153"/>
      <c r="I47" s="153"/>
      <c r="J47" s="153"/>
      <c r="K47" s="153"/>
      <c r="L47" s="153"/>
    </row>
    <row r="48" spans="1:12" ht="18">
      <c r="A48" s="153"/>
      <c r="B48" s="153"/>
      <c r="C48" s="153"/>
      <c r="D48" s="153"/>
      <c r="E48" s="153"/>
      <c r="F48" s="153"/>
      <c r="G48" s="153"/>
      <c r="H48" s="153"/>
      <c r="I48" s="153"/>
      <c r="J48" s="153"/>
      <c r="K48" s="153"/>
      <c r="L48" s="153"/>
    </row>
    <row r="49" spans="1:12" ht="18">
      <c r="A49" s="153"/>
      <c r="B49" s="153"/>
      <c r="C49" s="153"/>
      <c r="D49" s="153"/>
      <c r="E49" s="153"/>
      <c r="F49" s="153"/>
      <c r="G49" s="153"/>
      <c r="H49" s="153"/>
      <c r="I49" s="153"/>
      <c r="J49" s="153"/>
      <c r="K49" s="153"/>
      <c r="L49" s="153"/>
    </row>
    <row r="50" spans="1:12" ht="18">
      <c r="A50" s="153"/>
      <c r="B50" s="153"/>
      <c r="C50" s="153"/>
      <c r="D50" s="153"/>
      <c r="E50" s="153"/>
      <c r="F50" s="153"/>
      <c r="G50" s="153"/>
      <c r="H50" s="153"/>
      <c r="I50" s="153"/>
      <c r="J50" s="153"/>
      <c r="K50" s="153"/>
      <c r="L50" s="153"/>
    </row>
    <row r="51" spans="1:12" ht="18">
      <c r="A51" s="153"/>
      <c r="B51" s="153"/>
      <c r="C51" s="153"/>
      <c r="D51" s="153"/>
      <c r="E51" s="153"/>
      <c r="F51" s="153"/>
      <c r="G51" s="153"/>
      <c r="H51" s="153"/>
      <c r="I51" s="153"/>
      <c r="J51" s="153"/>
      <c r="K51" s="153"/>
      <c r="L51" s="153"/>
    </row>
    <row r="52" spans="1:12" ht="18">
      <c r="A52" s="153"/>
      <c r="B52" s="153"/>
      <c r="C52" s="153"/>
      <c r="D52" s="153"/>
      <c r="E52" s="153"/>
      <c r="F52" s="153"/>
      <c r="G52" s="153"/>
      <c r="H52" s="153"/>
      <c r="I52" s="153"/>
      <c r="J52" s="153"/>
      <c r="K52" s="153"/>
      <c r="L52" s="153"/>
    </row>
    <row r="53" spans="1:12" ht="18">
      <c r="A53" s="153"/>
      <c r="B53" s="153"/>
      <c r="C53" s="153"/>
      <c r="D53" s="153"/>
      <c r="E53" s="153"/>
      <c r="F53" s="153"/>
      <c r="G53" s="153"/>
      <c r="H53" s="153"/>
      <c r="I53" s="153"/>
      <c r="J53" s="153"/>
      <c r="K53" s="153"/>
      <c r="L53" s="153"/>
    </row>
    <row r="54" spans="1:12" ht="18">
      <c r="A54" s="153"/>
      <c r="B54" s="153"/>
      <c r="C54" s="153"/>
      <c r="D54" s="153"/>
      <c r="E54" s="153"/>
      <c r="F54" s="153"/>
      <c r="G54" s="153"/>
      <c r="H54" s="153"/>
      <c r="I54" s="153"/>
      <c r="J54" s="153"/>
      <c r="K54" s="153"/>
      <c r="L54" s="153"/>
    </row>
    <row r="55" spans="1:12" ht="18">
      <c r="A55" s="153"/>
      <c r="B55" s="153"/>
      <c r="C55" s="153"/>
      <c r="D55" s="153"/>
      <c r="E55" s="153"/>
      <c r="F55" s="153"/>
      <c r="G55" s="153"/>
      <c r="H55" s="153"/>
      <c r="I55" s="153"/>
      <c r="J55" s="153"/>
      <c r="K55" s="153"/>
      <c r="L55" s="153"/>
    </row>
    <row r="56" spans="1:12" ht="18">
      <c r="A56" s="153"/>
      <c r="B56" s="153"/>
      <c r="C56" s="153"/>
      <c r="D56" s="153"/>
      <c r="E56" s="153"/>
      <c r="F56" s="153"/>
      <c r="G56" s="153"/>
      <c r="H56" s="153"/>
      <c r="I56" s="153"/>
      <c r="J56" s="153"/>
      <c r="K56" s="153"/>
      <c r="L56" s="153"/>
    </row>
    <row r="57" spans="1:12" ht="18">
      <c r="A57" s="153"/>
      <c r="B57" s="153"/>
      <c r="C57" s="153"/>
      <c r="D57" s="153"/>
      <c r="E57" s="153"/>
      <c r="F57" s="153"/>
      <c r="G57" s="153"/>
      <c r="H57" s="153"/>
      <c r="I57" s="153"/>
      <c r="J57" s="153"/>
      <c r="K57" s="153"/>
      <c r="L57" s="153"/>
    </row>
    <row r="58" spans="1:12" ht="18">
      <c r="A58" s="153"/>
      <c r="B58" s="153"/>
      <c r="C58" s="153"/>
      <c r="D58" s="153"/>
      <c r="E58" s="153"/>
      <c r="F58" s="153"/>
      <c r="G58" s="153"/>
      <c r="H58" s="153"/>
      <c r="I58" s="153"/>
      <c r="J58" s="153"/>
      <c r="K58" s="153"/>
      <c r="L58" s="153"/>
    </row>
    <row r="59" spans="1:12" ht="18">
      <c r="A59" s="153"/>
      <c r="B59" s="153"/>
      <c r="C59" s="153"/>
      <c r="D59" s="153"/>
      <c r="E59" s="153"/>
      <c r="F59" s="153"/>
      <c r="G59" s="153"/>
      <c r="H59" s="153"/>
      <c r="I59" s="153"/>
      <c r="J59" s="153"/>
      <c r="K59" s="153"/>
      <c r="L59" s="153"/>
    </row>
    <row r="60" spans="1:12" ht="18">
      <c r="A60" s="153"/>
      <c r="B60" s="153"/>
      <c r="C60" s="153"/>
      <c r="D60" s="153"/>
      <c r="E60" s="153"/>
      <c r="F60" s="153"/>
      <c r="G60" s="153"/>
      <c r="H60" s="153"/>
      <c r="I60" s="153"/>
      <c r="J60" s="153"/>
      <c r="K60" s="153"/>
      <c r="L60" s="153"/>
    </row>
    <row r="61" spans="1:12" ht="18">
      <c r="A61" s="153"/>
      <c r="B61" s="153"/>
      <c r="C61" s="153"/>
      <c r="D61" s="153"/>
      <c r="E61" s="153"/>
      <c r="F61" s="153"/>
      <c r="G61" s="153"/>
      <c r="H61" s="153"/>
      <c r="I61" s="153"/>
      <c r="J61" s="153"/>
      <c r="K61" s="153"/>
      <c r="L61" s="153"/>
    </row>
    <row r="62" spans="1:12" ht="18">
      <c r="A62" s="153"/>
      <c r="B62" s="153"/>
      <c r="C62" s="153"/>
      <c r="D62" s="153"/>
      <c r="E62" s="153"/>
      <c r="F62" s="153"/>
      <c r="G62" s="153"/>
      <c r="H62" s="153"/>
      <c r="I62" s="153"/>
      <c r="J62" s="153"/>
      <c r="K62" s="153"/>
      <c r="L62" s="153"/>
    </row>
    <row r="63" spans="1:12" ht="18">
      <c r="A63" s="153"/>
      <c r="B63" s="153"/>
      <c r="C63" s="153"/>
      <c r="D63" s="153"/>
      <c r="E63" s="153"/>
      <c r="F63" s="153"/>
      <c r="G63" s="153"/>
      <c r="H63" s="153"/>
      <c r="I63" s="153"/>
      <c r="J63" s="153"/>
      <c r="K63" s="153"/>
      <c r="L63" s="153"/>
    </row>
    <row r="64" spans="1:12" ht="18">
      <c r="A64" s="153"/>
      <c r="B64" s="153"/>
      <c r="C64" s="153"/>
      <c r="D64" s="153"/>
      <c r="E64" s="153"/>
      <c r="F64" s="153"/>
      <c r="G64" s="153"/>
      <c r="H64" s="153"/>
      <c r="I64" s="153"/>
      <c r="J64" s="153"/>
      <c r="K64" s="153"/>
      <c r="L64" s="153"/>
    </row>
    <row r="65" spans="1:12" ht="18">
      <c r="A65" s="153"/>
      <c r="B65" s="153"/>
      <c r="C65" s="153"/>
      <c r="D65" s="153"/>
      <c r="E65" s="153"/>
      <c r="F65" s="153"/>
      <c r="G65" s="153"/>
      <c r="H65" s="153"/>
      <c r="I65" s="153"/>
      <c r="J65" s="153"/>
      <c r="K65" s="153"/>
      <c r="L65" s="153"/>
    </row>
    <row r="66" spans="1:12" ht="18">
      <c r="A66" s="153"/>
      <c r="B66" s="153"/>
      <c r="C66" s="153"/>
      <c r="D66" s="153"/>
      <c r="E66" s="153"/>
      <c r="F66" s="153"/>
      <c r="G66" s="153"/>
      <c r="H66" s="153"/>
      <c r="I66" s="153"/>
      <c r="J66" s="153"/>
      <c r="K66" s="153"/>
      <c r="L66" s="153"/>
    </row>
    <row r="67" spans="1:12" ht="18">
      <c r="A67" s="153"/>
      <c r="B67" s="153"/>
      <c r="C67" s="153"/>
      <c r="D67" s="153"/>
      <c r="E67" s="153"/>
      <c r="F67" s="153"/>
      <c r="G67" s="153"/>
      <c r="H67" s="153"/>
      <c r="I67" s="153"/>
      <c r="J67" s="153"/>
      <c r="K67" s="153"/>
      <c r="L67" s="153"/>
    </row>
    <row r="68" spans="1:12" ht="18">
      <c r="A68" s="153"/>
      <c r="B68" s="153"/>
      <c r="C68" s="153"/>
      <c r="D68" s="153"/>
      <c r="E68" s="153"/>
      <c r="F68" s="153"/>
      <c r="G68" s="153"/>
      <c r="H68" s="153"/>
      <c r="I68" s="153"/>
      <c r="J68" s="153"/>
      <c r="K68" s="153"/>
      <c r="L68" s="153"/>
    </row>
    <row r="69" spans="1:12" ht="18">
      <c r="A69" s="153"/>
      <c r="B69" s="153"/>
      <c r="C69" s="153"/>
      <c r="D69" s="153"/>
      <c r="E69" s="153"/>
      <c r="F69" s="153"/>
      <c r="G69" s="153"/>
      <c r="H69" s="153"/>
      <c r="I69" s="153"/>
      <c r="J69" s="153"/>
      <c r="K69" s="153"/>
      <c r="L69" s="153"/>
    </row>
    <row r="70" spans="1:12" ht="18">
      <c r="A70" s="153"/>
      <c r="B70" s="153"/>
      <c r="C70" s="153"/>
      <c r="D70" s="153"/>
      <c r="E70" s="153"/>
      <c r="F70" s="153"/>
      <c r="G70" s="153"/>
      <c r="H70" s="153"/>
      <c r="I70" s="153"/>
      <c r="J70" s="153"/>
      <c r="K70" s="153"/>
      <c r="L70" s="153"/>
    </row>
    <row r="71" spans="1:12" ht="18">
      <c r="A71" s="153"/>
      <c r="B71" s="153"/>
      <c r="C71" s="153"/>
      <c r="D71" s="153"/>
      <c r="E71" s="153"/>
      <c r="F71" s="153"/>
      <c r="G71" s="153"/>
      <c r="H71" s="153"/>
      <c r="I71" s="153"/>
      <c r="J71" s="153"/>
      <c r="K71" s="153"/>
      <c r="L71" s="153"/>
    </row>
    <row r="72" spans="1:12" ht="18">
      <c r="A72" s="153"/>
      <c r="B72" s="153"/>
      <c r="C72" s="153"/>
      <c r="D72" s="153"/>
      <c r="E72" s="153"/>
      <c r="F72" s="153"/>
      <c r="G72" s="153"/>
      <c r="H72" s="153"/>
      <c r="I72" s="153"/>
      <c r="J72" s="153"/>
      <c r="K72" s="153"/>
      <c r="L72" s="153"/>
    </row>
    <row r="73" spans="1:12" ht="18">
      <c r="A73" s="153"/>
      <c r="B73" s="153"/>
      <c r="C73" s="153"/>
      <c r="D73" s="153"/>
      <c r="E73" s="153"/>
      <c r="F73" s="153"/>
      <c r="G73" s="153"/>
      <c r="H73" s="153"/>
      <c r="I73" s="153"/>
      <c r="J73" s="153"/>
      <c r="K73" s="153"/>
      <c r="L73" s="153"/>
    </row>
    <row r="74" spans="1:12" ht="18">
      <c r="A74" s="153"/>
      <c r="B74" s="153"/>
      <c r="C74" s="153"/>
      <c r="D74" s="153"/>
      <c r="E74" s="153"/>
      <c r="F74" s="153"/>
      <c r="G74" s="153"/>
      <c r="H74" s="153"/>
      <c r="I74" s="153"/>
      <c r="J74" s="153"/>
      <c r="K74" s="153"/>
      <c r="L74" s="153"/>
    </row>
    <row r="75" spans="1:12" ht="18">
      <c r="A75" s="153"/>
      <c r="B75" s="153"/>
      <c r="C75" s="153"/>
      <c r="D75" s="153"/>
      <c r="E75" s="153"/>
      <c r="F75" s="153"/>
      <c r="G75" s="153"/>
      <c r="H75" s="153"/>
      <c r="I75" s="153"/>
      <c r="J75" s="153"/>
      <c r="K75" s="153"/>
      <c r="L75" s="153"/>
    </row>
    <row r="76" spans="1:12" ht="18">
      <c r="A76" s="153"/>
      <c r="B76" s="153"/>
      <c r="C76" s="153"/>
      <c r="D76" s="153"/>
      <c r="E76" s="153"/>
      <c r="F76" s="153"/>
      <c r="G76" s="153"/>
      <c r="H76" s="153"/>
      <c r="I76" s="153"/>
      <c r="J76" s="153"/>
      <c r="K76" s="153"/>
      <c r="L76" s="153"/>
    </row>
    <row r="77" spans="1:12" ht="18">
      <c r="A77" s="153"/>
      <c r="B77" s="153"/>
      <c r="C77" s="153"/>
      <c r="D77" s="153"/>
      <c r="E77" s="153"/>
      <c r="F77" s="153"/>
      <c r="G77" s="153"/>
      <c r="H77" s="153"/>
      <c r="I77" s="153"/>
      <c r="J77" s="153"/>
      <c r="K77" s="153"/>
      <c r="L77" s="153"/>
    </row>
    <row r="78" spans="1:12" ht="18">
      <c r="A78" s="153"/>
      <c r="B78" s="153"/>
      <c r="C78" s="153"/>
      <c r="D78" s="153"/>
      <c r="E78" s="153"/>
      <c r="F78" s="153"/>
      <c r="G78" s="153"/>
      <c r="H78" s="153"/>
      <c r="I78" s="153"/>
      <c r="J78" s="153"/>
      <c r="K78" s="153"/>
      <c r="L78" s="153"/>
    </row>
    <row r="79" spans="1:12" ht="18">
      <c r="A79" s="153"/>
      <c r="B79" s="153"/>
      <c r="C79" s="153"/>
      <c r="D79" s="153"/>
      <c r="E79" s="153"/>
      <c r="F79" s="153"/>
      <c r="G79" s="153"/>
      <c r="H79" s="153"/>
      <c r="I79" s="153"/>
      <c r="J79" s="153"/>
      <c r="K79" s="153"/>
      <c r="L79" s="153"/>
    </row>
    <row r="80" spans="1:12" ht="18">
      <c r="A80" s="153"/>
      <c r="B80" s="153"/>
      <c r="C80" s="153"/>
      <c r="D80" s="153"/>
      <c r="E80" s="153"/>
      <c r="F80" s="153"/>
      <c r="G80" s="153"/>
      <c r="H80" s="153"/>
      <c r="I80" s="153"/>
      <c r="J80" s="153"/>
      <c r="K80" s="153"/>
      <c r="L80" s="153"/>
    </row>
    <row r="81" spans="1:12" ht="18">
      <c r="A81" s="153"/>
      <c r="B81" s="153"/>
      <c r="C81" s="153"/>
      <c r="D81" s="153"/>
      <c r="E81" s="153"/>
      <c r="F81" s="153"/>
      <c r="G81" s="153"/>
      <c r="H81" s="153"/>
      <c r="I81" s="153"/>
      <c r="J81" s="153"/>
      <c r="K81" s="153"/>
      <c r="L81" s="153"/>
    </row>
    <row r="82" spans="1:12" ht="18">
      <c r="A82" s="153"/>
      <c r="B82" s="153"/>
      <c r="C82" s="153"/>
      <c r="D82" s="153"/>
      <c r="E82" s="153"/>
      <c r="F82" s="153"/>
      <c r="G82" s="153"/>
      <c r="H82" s="153"/>
      <c r="I82" s="153"/>
      <c r="J82" s="153"/>
      <c r="K82" s="153"/>
      <c r="L82" s="153"/>
    </row>
    <row r="83" spans="1:12" ht="18">
      <c r="A83" s="153"/>
      <c r="B83" s="153"/>
      <c r="C83" s="153"/>
      <c r="D83" s="153"/>
      <c r="E83" s="153"/>
      <c r="F83" s="153"/>
      <c r="G83" s="153"/>
      <c r="H83" s="153"/>
      <c r="I83" s="153"/>
      <c r="J83" s="153"/>
      <c r="K83" s="153"/>
      <c r="L83" s="153"/>
    </row>
    <row r="84" spans="1:12" ht="18">
      <c r="A84" s="153"/>
      <c r="B84" s="153"/>
      <c r="C84" s="153"/>
      <c r="D84" s="153"/>
      <c r="E84" s="153"/>
      <c r="F84" s="153"/>
      <c r="G84" s="153"/>
      <c r="H84" s="153"/>
      <c r="I84" s="153"/>
      <c r="J84" s="153"/>
      <c r="K84" s="153"/>
      <c r="L84" s="153"/>
    </row>
    <row r="85" spans="1:12" ht="18">
      <c r="A85" s="153"/>
      <c r="B85" s="153"/>
      <c r="C85" s="153"/>
      <c r="D85" s="153"/>
      <c r="E85" s="153"/>
      <c r="F85" s="153"/>
      <c r="G85" s="153"/>
      <c r="H85" s="153"/>
      <c r="I85" s="153"/>
      <c r="J85" s="153"/>
      <c r="K85" s="153"/>
      <c r="L85" s="153"/>
    </row>
    <row r="86" spans="1:12" ht="18">
      <c r="A86" s="153"/>
      <c r="B86" s="153"/>
      <c r="C86" s="153"/>
      <c r="D86" s="153"/>
      <c r="E86" s="153"/>
      <c r="F86" s="153"/>
      <c r="G86" s="153"/>
      <c r="H86" s="153"/>
      <c r="I86" s="153"/>
      <c r="J86" s="153"/>
      <c r="K86" s="153"/>
      <c r="L86" s="153"/>
    </row>
    <row r="87" spans="1:12" ht="18">
      <c r="A87" s="153"/>
      <c r="B87" s="153"/>
      <c r="C87" s="153"/>
      <c r="D87" s="153"/>
      <c r="E87" s="153"/>
      <c r="F87" s="153"/>
      <c r="G87" s="153"/>
      <c r="H87" s="153"/>
      <c r="I87" s="153"/>
      <c r="J87" s="153"/>
      <c r="K87" s="153"/>
      <c r="L87" s="153"/>
    </row>
    <row r="88" spans="1:12" ht="18">
      <c r="A88" s="153"/>
      <c r="B88" s="153"/>
      <c r="C88" s="153"/>
      <c r="D88" s="153"/>
      <c r="E88" s="153"/>
      <c r="F88" s="153"/>
      <c r="G88" s="153"/>
      <c r="H88" s="153"/>
      <c r="I88" s="153"/>
      <c r="J88" s="153"/>
      <c r="K88" s="153"/>
      <c r="L88" s="153"/>
    </row>
    <row r="89" spans="1:12" ht="18">
      <c r="A89" s="153"/>
      <c r="B89" s="153"/>
      <c r="C89" s="153"/>
      <c r="D89" s="153"/>
      <c r="E89" s="153"/>
      <c r="F89" s="153"/>
      <c r="G89" s="153"/>
      <c r="H89" s="153"/>
      <c r="I89" s="153"/>
      <c r="J89" s="153"/>
      <c r="K89" s="153"/>
      <c r="L89" s="153"/>
    </row>
    <row r="90" spans="1:12" ht="18">
      <c r="A90" s="153"/>
      <c r="B90" s="153"/>
      <c r="C90" s="153"/>
      <c r="D90" s="153"/>
      <c r="E90" s="153"/>
      <c r="F90" s="153"/>
      <c r="G90" s="153"/>
      <c r="H90" s="153"/>
      <c r="I90" s="153"/>
      <c r="J90" s="153"/>
      <c r="K90" s="153"/>
      <c r="L90" s="153"/>
    </row>
    <row r="91" spans="1:12" ht="18">
      <c r="A91" s="153"/>
      <c r="B91" s="153"/>
      <c r="C91" s="153"/>
      <c r="D91" s="153"/>
      <c r="E91" s="153"/>
      <c r="F91" s="153"/>
      <c r="G91" s="153"/>
      <c r="H91" s="153"/>
      <c r="I91" s="153"/>
      <c r="J91" s="153"/>
      <c r="K91" s="153"/>
      <c r="L91" s="153"/>
    </row>
    <row r="92" spans="1:12" ht="18">
      <c r="A92" s="153"/>
      <c r="B92" s="153"/>
      <c r="C92" s="153"/>
      <c r="D92" s="153"/>
      <c r="E92" s="153"/>
      <c r="F92" s="153"/>
      <c r="G92" s="153"/>
      <c r="H92" s="153"/>
      <c r="I92" s="153"/>
      <c r="J92" s="153"/>
      <c r="K92" s="153"/>
      <c r="L92" s="153"/>
    </row>
    <row r="93" spans="1:12" ht="18">
      <c r="A93" s="153"/>
      <c r="B93" s="153"/>
      <c r="C93" s="153"/>
      <c r="D93" s="153"/>
      <c r="E93" s="153"/>
      <c r="F93" s="153"/>
      <c r="G93" s="153"/>
      <c r="H93" s="153"/>
      <c r="I93" s="153"/>
      <c r="J93" s="153"/>
      <c r="K93" s="153"/>
      <c r="L93" s="153"/>
    </row>
    <row r="94" spans="1:12" ht="18">
      <c r="A94" s="153"/>
      <c r="B94" s="153"/>
      <c r="C94" s="153"/>
      <c r="D94" s="153"/>
      <c r="E94" s="153"/>
      <c r="F94" s="153"/>
      <c r="G94" s="153"/>
      <c r="H94" s="153"/>
      <c r="I94" s="153"/>
      <c r="J94" s="153"/>
      <c r="K94" s="153"/>
      <c r="L94" s="153"/>
    </row>
    <row r="95" spans="1:12" ht="18">
      <c r="A95" s="153"/>
      <c r="B95" s="153"/>
      <c r="C95" s="153"/>
      <c r="D95" s="153"/>
      <c r="E95" s="153"/>
      <c r="F95" s="153"/>
      <c r="G95" s="153"/>
      <c r="H95" s="153"/>
      <c r="I95" s="153"/>
      <c r="J95" s="153"/>
      <c r="K95" s="153"/>
      <c r="L95" s="153"/>
    </row>
    <row r="96" spans="1:12" ht="18">
      <c r="A96" s="153"/>
      <c r="B96" s="153"/>
      <c r="C96" s="153"/>
      <c r="D96" s="153"/>
      <c r="E96" s="153"/>
      <c r="F96" s="153"/>
      <c r="G96" s="153"/>
      <c r="H96" s="153"/>
      <c r="I96" s="153"/>
      <c r="J96" s="153"/>
      <c r="K96" s="153"/>
      <c r="L96" s="153"/>
    </row>
    <row r="97" spans="1:12" ht="18">
      <c r="A97" s="153"/>
      <c r="B97" s="153"/>
      <c r="C97" s="153"/>
      <c r="D97" s="153"/>
      <c r="E97" s="153"/>
      <c r="F97" s="153"/>
      <c r="G97" s="153"/>
      <c r="H97" s="153"/>
      <c r="I97" s="153"/>
      <c r="J97" s="153"/>
      <c r="K97" s="153"/>
      <c r="L97" s="153"/>
    </row>
    <row r="98" spans="1:12" ht="18">
      <c r="A98" s="153"/>
      <c r="B98" s="153"/>
      <c r="C98" s="153"/>
      <c r="D98" s="153"/>
      <c r="E98" s="153"/>
      <c r="F98" s="153"/>
      <c r="G98" s="153"/>
      <c r="H98" s="153"/>
      <c r="I98" s="153"/>
      <c r="J98" s="153"/>
      <c r="K98" s="153"/>
      <c r="L98" s="153"/>
    </row>
    <row r="99" spans="1:12" ht="18">
      <c r="A99" s="153"/>
      <c r="B99" s="153"/>
      <c r="C99" s="153"/>
      <c r="D99" s="153"/>
      <c r="E99" s="153"/>
      <c r="F99" s="153"/>
      <c r="G99" s="153"/>
      <c r="H99" s="153"/>
      <c r="I99" s="153"/>
      <c r="J99" s="153"/>
      <c r="K99" s="153"/>
      <c r="L99" s="153"/>
    </row>
    <row r="100" spans="1:12" ht="18">
      <c r="A100" s="153"/>
      <c r="B100" s="153"/>
      <c r="C100" s="153"/>
      <c r="D100" s="153"/>
      <c r="E100" s="153"/>
      <c r="F100" s="153"/>
      <c r="G100" s="153"/>
      <c r="H100" s="153"/>
      <c r="I100" s="153"/>
      <c r="J100" s="153"/>
      <c r="K100" s="153"/>
      <c r="L100" s="153"/>
    </row>
    <row r="101" spans="1:12" ht="18">
      <c r="A101" s="153"/>
      <c r="B101" s="153"/>
      <c r="C101" s="153"/>
      <c r="D101" s="153"/>
      <c r="E101" s="153"/>
      <c r="F101" s="153"/>
      <c r="G101" s="153"/>
      <c r="H101" s="153"/>
      <c r="I101" s="153"/>
      <c r="J101" s="153"/>
      <c r="K101" s="153"/>
      <c r="L101" s="153"/>
    </row>
    <row r="102" spans="1:12" ht="18">
      <c r="A102" s="153"/>
      <c r="B102" s="153"/>
      <c r="C102" s="153"/>
      <c r="D102" s="153"/>
      <c r="E102" s="153"/>
      <c r="F102" s="153"/>
      <c r="G102" s="153"/>
      <c r="H102" s="153"/>
      <c r="I102" s="153"/>
      <c r="J102" s="153"/>
      <c r="K102" s="153"/>
      <c r="L102" s="153"/>
    </row>
    <row r="103" spans="1:12" ht="18">
      <c r="A103" s="153"/>
      <c r="B103" s="153"/>
      <c r="C103" s="153"/>
      <c r="D103" s="153"/>
      <c r="E103" s="153"/>
      <c r="F103" s="153"/>
      <c r="G103" s="153"/>
      <c r="H103" s="153"/>
      <c r="I103" s="153"/>
      <c r="J103" s="153"/>
      <c r="K103" s="153"/>
      <c r="L103" s="153"/>
    </row>
    <row r="104" spans="1:12" ht="18">
      <c r="A104" s="153"/>
      <c r="B104" s="153"/>
      <c r="C104" s="153"/>
      <c r="D104" s="153"/>
      <c r="E104" s="153"/>
      <c r="F104" s="153"/>
      <c r="G104" s="153"/>
      <c r="H104" s="153"/>
      <c r="I104" s="153"/>
      <c r="J104" s="153"/>
      <c r="K104" s="153"/>
      <c r="L104" s="153"/>
    </row>
    <row r="105" spans="1:12" ht="18">
      <c r="A105" s="153"/>
      <c r="B105" s="153"/>
      <c r="C105" s="153"/>
      <c r="D105" s="153"/>
      <c r="E105" s="153"/>
      <c r="F105" s="153"/>
      <c r="G105" s="153"/>
      <c r="H105" s="153"/>
      <c r="I105" s="153"/>
      <c r="J105" s="153"/>
      <c r="K105" s="153"/>
      <c r="L105" s="153"/>
    </row>
    <row r="106" spans="1:12" ht="18">
      <c r="A106" s="153"/>
      <c r="B106" s="153"/>
      <c r="C106" s="153"/>
      <c r="D106" s="153"/>
      <c r="E106" s="153"/>
      <c r="F106" s="153"/>
      <c r="G106" s="153"/>
      <c r="H106" s="153"/>
      <c r="I106" s="153"/>
      <c r="J106" s="153"/>
      <c r="K106" s="153"/>
      <c r="L106" s="153"/>
    </row>
    <row r="107" spans="1:12" ht="18">
      <c r="A107" s="153"/>
      <c r="B107" s="153"/>
      <c r="C107" s="153"/>
      <c r="D107" s="153"/>
      <c r="E107" s="153"/>
      <c r="F107" s="153"/>
      <c r="G107" s="153"/>
      <c r="H107" s="153"/>
      <c r="I107" s="153"/>
      <c r="J107" s="153"/>
      <c r="K107" s="153"/>
      <c r="L107" s="153"/>
    </row>
    <row r="108" spans="1:12" ht="18">
      <c r="A108" s="153"/>
      <c r="B108" s="153"/>
      <c r="C108" s="153"/>
      <c r="D108" s="153"/>
      <c r="E108" s="153"/>
      <c r="F108" s="153"/>
      <c r="G108" s="153"/>
      <c r="H108" s="153"/>
      <c r="I108" s="153"/>
      <c r="J108" s="153"/>
      <c r="K108" s="153"/>
      <c r="L108" s="153"/>
    </row>
    <row r="109" spans="1:12" ht="18">
      <c r="A109" s="153"/>
      <c r="B109" s="153"/>
      <c r="C109" s="153"/>
      <c r="D109" s="153"/>
      <c r="E109" s="153"/>
      <c r="F109" s="153"/>
      <c r="G109" s="153"/>
      <c r="H109" s="153"/>
      <c r="I109" s="153"/>
      <c r="J109" s="153"/>
      <c r="K109" s="153"/>
      <c r="L109" s="153"/>
    </row>
    <row r="110" spans="1:12" ht="18">
      <c r="A110" s="153"/>
      <c r="B110" s="153"/>
      <c r="C110" s="153"/>
      <c r="D110" s="153"/>
      <c r="E110" s="153"/>
      <c r="F110" s="153"/>
      <c r="G110" s="153"/>
      <c r="H110" s="153"/>
      <c r="I110" s="153"/>
      <c r="J110" s="153"/>
      <c r="K110" s="153"/>
      <c r="L110" s="153"/>
    </row>
    <row r="111" spans="1:12" ht="18">
      <c r="A111" s="153"/>
      <c r="B111" s="153"/>
      <c r="C111" s="153"/>
      <c r="D111" s="153"/>
      <c r="E111" s="153"/>
      <c r="F111" s="153"/>
      <c r="G111" s="153"/>
      <c r="H111" s="153"/>
      <c r="I111" s="153"/>
      <c r="J111" s="153"/>
      <c r="K111" s="153"/>
      <c r="L111" s="153"/>
    </row>
    <row r="112" spans="1:12" ht="18">
      <c r="A112" s="153"/>
      <c r="B112" s="153"/>
      <c r="C112" s="153"/>
      <c r="D112" s="153"/>
      <c r="E112" s="153"/>
      <c r="F112" s="153"/>
      <c r="G112" s="153"/>
      <c r="H112" s="153"/>
      <c r="I112" s="153"/>
      <c r="J112" s="153"/>
      <c r="K112" s="153"/>
      <c r="L112" s="153"/>
    </row>
    <row r="113" spans="1:12" ht="18">
      <c r="A113" s="153"/>
      <c r="B113" s="153"/>
      <c r="C113" s="153"/>
      <c r="D113" s="153"/>
      <c r="E113" s="153"/>
      <c r="F113" s="153"/>
      <c r="G113" s="153"/>
      <c r="H113" s="153"/>
      <c r="I113" s="153"/>
      <c r="J113" s="153"/>
      <c r="K113" s="153"/>
      <c r="L113" s="153"/>
    </row>
    <row r="114" spans="1:12" ht="18">
      <c r="A114" s="153"/>
      <c r="B114" s="153"/>
      <c r="C114" s="153"/>
      <c r="D114" s="153"/>
      <c r="E114" s="153"/>
      <c r="F114" s="153"/>
      <c r="G114" s="153"/>
      <c r="H114" s="153"/>
      <c r="I114" s="153"/>
      <c r="J114" s="153"/>
      <c r="K114" s="153"/>
      <c r="L114" s="153"/>
    </row>
    <row r="115" spans="1:12" ht="18">
      <c r="A115" s="153"/>
      <c r="B115" s="153"/>
      <c r="C115" s="153"/>
      <c r="D115" s="153"/>
      <c r="E115" s="153"/>
      <c r="F115" s="153"/>
      <c r="G115" s="153"/>
      <c r="H115" s="153"/>
      <c r="I115" s="153"/>
      <c r="J115" s="153"/>
      <c r="K115" s="153"/>
      <c r="L115" s="153"/>
    </row>
    <row r="116" spans="1:12" ht="18">
      <c r="A116" s="153"/>
      <c r="B116" s="153"/>
      <c r="C116" s="153"/>
      <c r="D116" s="153"/>
      <c r="E116" s="153"/>
      <c r="F116" s="153"/>
      <c r="G116" s="153"/>
      <c r="H116" s="153"/>
      <c r="I116" s="153"/>
      <c r="J116" s="153"/>
      <c r="K116" s="153"/>
      <c r="L116" s="153"/>
    </row>
    <row r="117" spans="1:12" ht="18">
      <c r="A117" s="153"/>
      <c r="B117" s="153"/>
      <c r="C117" s="153"/>
      <c r="D117" s="153"/>
      <c r="E117" s="153"/>
      <c r="F117" s="153"/>
      <c r="G117" s="153"/>
      <c r="H117" s="153"/>
      <c r="I117" s="153"/>
      <c r="J117" s="153"/>
      <c r="K117" s="153"/>
      <c r="L117" s="153"/>
    </row>
    <row r="118" spans="1:12" ht="18">
      <c r="A118" s="153"/>
      <c r="B118" s="153"/>
      <c r="C118" s="153"/>
      <c r="D118" s="153"/>
      <c r="E118" s="153"/>
      <c r="F118" s="153"/>
      <c r="G118" s="153"/>
      <c r="H118" s="153"/>
      <c r="I118" s="153"/>
      <c r="J118" s="153"/>
      <c r="K118" s="153"/>
      <c r="L118" s="153"/>
    </row>
    <row r="119" spans="1:12" ht="18">
      <c r="A119" s="153"/>
      <c r="B119" s="153"/>
      <c r="C119" s="153"/>
      <c r="D119" s="153"/>
      <c r="E119" s="153"/>
      <c r="F119" s="153"/>
      <c r="G119" s="153"/>
      <c r="H119" s="153"/>
      <c r="I119" s="153"/>
      <c r="J119" s="153"/>
      <c r="K119" s="153"/>
      <c r="L119" s="153"/>
    </row>
    <row r="120" spans="1:12" ht="18">
      <c r="A120" s="153"/>
      <c r="B120" s="153"/>
      <c r="C120" s="153"/>
      <c r="D120" s="153"/>
      <c r="E120" s="153"/>
      <c r="F120" s="153"/>
      <c r="G120" s="153"/>
      <c r="H120" s="153"/>
      <c r="I120" s="153"/>
      <c r="J120" s="153"/>
      <c r="K120" s="153"/>
      <c r="L120" s="153"/>
    </row>
    <row r="121" spans="1:12" ht="18">
      <c r="A121" s="153"/>
      <c r="B121" s="153"/>
      <c r="C121" s="153"/>
      <c r="D121" s="153"/>
      <c r="E121" s="153"/>
      <c r="F121" s="153"/>
      <c r="G121" s="153"/>
      <c r="H121" s="153"/>
      <c r="I121" s="153"/>
      <c r="J121" s="153"/>
      <c r="K121" s="153"/>
      <c r="L121" s="153"/>
    </row>
    <row r="122" spans="1:12" ht="18">
      <c r="A122" s="153"/>
      <c r="B122" s="153"/>
      <c r="C122" s="153"/>
      <c r="D122" s="153"/>
      <c r="E122" s="153"/>
      <c r="F122" s="153"/>
      <c r="G122" s="153"/>
      <c r="H122" s="153"/>
      <c r="I122" s="153"/>
      <c r="J122" s="153"/>
      <c r="K122" s="153"/>
      <c r="L122" s="153"/>
    </row>
    <row r="123" spans="1:12" ht="18">
      <c r="A123" s="153"/>
      <c r="B123" s="153"/>
      <c r="C123" s="153"/>
      <c r="D123" s="153"/>
      <c r="E123" s="153"/>
      <c r="F123" s="153"/>
      <c r="G123" s="153"/>
      <c r="H123" s="153"/>
      <c r="I123" s="153"/>
      <c r="J123" s="153"/>
      <c r="K123" s="153"/>
      <c r="L123" s="153"/>
    </row>
    <row r="124" spans="1:12" ht="18">
      <c r="A124" s="153"/>
      <c r="B124" s="153"/>
      <c r="C124" s="153"/>
      <c r="D124" s="153"/>
      <c r="E124" s="153"/>
      <c r="F124" s="153"/>
      <c r="G124" s="153"/>
      <c r="H124" s="153"/>
      <c r="I124" s="153"/>
      <c r="J124" s="153"/>
      <c r="K124" s="153"/>
      <c r="L124" s="153"/>
    </row>
    <row r="125" spans="1:12" ht="18">
      <c r="A125" s="153"/>
      <c r="B125" s="153"/>
      <c r="C125" s="153"/>
      <c r="D125" s="153"/>
      <c r="E125" s="153"/>
      <c r="F125" s="153"/>
      <c r="G125" s="153"/>
      <c r="H125" s="153"/>
      <c r="I125" s="153"/>
      <c r="J125" s="153"/>
      <c r="K125" s="153"/>
      <c r="L125" s="153"/>
    </row>
    <row r="126" spans="1:12" ht="18">
      <c r="A126" s="153"/>
      <c r="B126" s="153"/>
      <c r="C126" s="153"/>
      <c r="D126" s="153"/>
      <c r="E126" s="153"/>
      <c r="F126" s="153"/>
      <c r="G126" s="153"/>
      <c r="H126" s="153"/>
      <c r="I126" s="153"/>
      <c r="J126" s="153"/>
      <c r="K126" s="153"/>
      <c r="L126" s="153"/>
    </row>
    <row r="127" spans="1:12" ht="18">
      <c r="A127" s="153"/>
      <c r="B127" s="153"/>
      <c r="C127" s="153"/>
      <c r="D127" s="153"/>
      <c r="E127" s="153"/>
      <c r="F127" s="153"/>
      <c r="G127" s="153"/>
      <c r="H127" s="153"/>
      <c r="I127" s="153"/>
      <c r="J127" s="153"/>
      <c r="K127" s="153"/>
      <c r="L127" s="153"/>
    </row>
    <row r="128" spans="1:12" ht="18">
      <c r="A128" s="153"/>
      <c r="B128" s="153"/>
      <c r="C128" s="153"/>
      <c r="D128" s="153"/>
      <c r="E128" s="153"/>
      <c r="F128" s="153"/>
      <c r="G128" s="153"/>
      <c r="H128" s="153"/>
      <c r="I128" s="153"/>
      <c r="J128" s="153"/>
      <c r="K128" s="153"/>
      <c r="L128" s="153"/>
    </row>
    <row r="129" spans="1:12" ht="18">
      <c r="A129" s="153"/>
      <c r="B129" s="153"/>
      <c r="C129" s="153"/>
      <c r="D129" s="153"/>
      <c r="E129" s="153"/>
      <c r="F129" s="153"/>
      <c r="G129" s="153"/>
      <c r="H129" s="153"/>
      <c r="I129" s="153"/>
      <c r="J129" s="153"/>
      <c r="K129" s="153"/>
      <c r="L129" s="153"/>
    </row>
    <row r="130" spans="1:12" ht="18">
      <c r="A130" s="153"/>
      <c r="B130" s="153"/>
      <c r="C130" s="153"/>
      <c r="D130" s="153"/>
      <c r="E130" s="153"/>
      <c r="F130" s="153"/>
      <c r="G130" s="153"/>
      <c r="H130" s="153"/>
      <c r="I130" s="153"/>
      <c r="J130" s="153"/>
      <c r="K130" s="153"/>
      <c r="L130" s="153"/>
    </row>
    <row r="131" spans="1:12" ht="18">
      <c r="A131" s="153"/>
      <c r="B131" s="153"/>
      <c r="C131" s="153"/>
      <c r="D131" s="153"/>
      <c r="E131" s="153"/>
      <c r="F131" s="153"/>
      <c r="G131" s="153"/>
      <c r="H131" s="153"/>
      <c r="I131" s="153"/>
      <c r="J131" s="153"/>
      <c r="K131" s="153"/>
      <c r="L131" s="153"/>
    </row>
    <row r="132" spans="1:12" ht="18">
      <c r="A132" s="153"/>
      <c r="B132" s="153"/>
      <c r="C132" s="153"/>
      <c r="D132" s="153"/>
      <c r="E132" s="153"/>
      <c r="F132" s="153"/>
      <c r="G132" s="153"/>
      <c r="H132" s="153"/>
      <c r="I132" s="153"/>
      <c r="J132" s="153"/>
      <c r="K132" s="153"/>
      <c r="L132" s="153"/>
    </row>
    <row r="133" spans="1:12" ht="18">
      <c r="A133" s="153"/>
      <c r="B133" s="153"/>
      <c r="C133" s="153"/>
      <c r="D133" s="153"/>
      <c r="E133" s="153"/>
      <c r="F133" s="153"/>
      <c r="G133" s="153"/>
      <c r="H133" s="153"/>
      <c r="I133" s="153"/>
      <c r="J133" s="153"/>
      <c r="K133" s="153"/>
      <c r="L133" s="153"/>
    </row>
    <row r="134" spans="1:12" ht="18">
      <c r="A134" s="153"/>
      <c r="B134" s="153"/>
      <c r="C134" s="153"/>
      <c r="D134" s="153"/>
      <c r="E134" s="153"/>
      <c r="F134" s="153"/>
      <c r="G134" s="153"/>
      <c r="H134" s="153"/>
      <c r="I134" s="153"/>
      <c r="J134" s="153"/>
      <c r="K134" s="153"/>
      <c r="L134" s="153"/>
    </row>
    <row r="135" spans="1:12" ht="18">
      <c r="A135" s="153"/>
      <c r="B135" s="153"/>
      <c r="C135" s="153"/>
      <c r="D135" s="153"/>
      <c r="E135" s="153"/>
      <c r="F135" s="153"/>
      <c r="G135" s="153"/>
      <c r="H135" s="153"/>
      <c r="I135" s="153"/>
      <c r="J135" s="153"/>
      <c r="K135" s="153"/>
      <c r="L135" s="153"/>
    </row>
    <row r="136" spans="1:12" ht="18">
      <c r="A136" s="153"/>
      <c r="B136" s="153"/>
      <c r="C136" s="153"/>
      <c r="D136" s="153"/>
      <c r="E136" s="153"/>
      <c r="F136" s="153"/>
      <c r="G136" s="153"/>
      <c r="H136" s="153"/>
      <c r="I136" s="153"/>
      <c r="J136" s="153"/>
      <c r="K136" s="153"/>
      <c r="L136" s="153"/>
    </row>
    <row r="137" spans="1:12" ht="18">
      <c r="A137" s="153"/>
      <c r="B137" s="153"/>
      <c r="C137" s="153"/>
      <c r="D137" s="153"/>
      <c r="E137" s="153"/>
      <c r="F137" s="153"/>
      <c r="G137" s="153"/>
      <c r="H137" s="153"/>
      <c r="I137" s="153"/>
      <c r="J137" s="153"/>
      <c r="K137" s="153"/>
      <c r="L137" s="153"/>
    </row>
    <row r="138" spans="1:12" ht="18">
      <c r="A138" s="153"/>
      <c r="B138" s="153"/>
      <c r="C138" s="153"/>
      <c r="D138" s="153"/>
      <c r="E138" s="153"/>
      <c r="F138" s="153"/>
      <c r="G138" s="153"/>
      <c r="H138" s="153"/>
      <c r="I138" s="153"/>
      <c r="J138" s="153"/>
      <c r="K138" s="153"/>
      <c r="L138" s="153"/>
    </row>
    <row r="139" spans="1:12" ht="18">
      <c r="A139" s="153"/>
      <c r="B139" s="153"/>
      <c r="C139" s="153"/>
      <c r="D139" s="153"/>
      <c r="E139" s="153"/>
      <c r="F139" s="153"/>
      <c r="G139" s="153"/>
      <c r="H139" s="153"/>
      <c r="I139" s="153"/>
      <c r="J139" s="153"/>
      <c r="K139" s="153"/>
      <c r="L139" s="153"/>
    </row>
    <row r="140" spans="1:12" ht="18">
      <c r="A140" s="153"/>
      <c r="B140" s="153"/>
      <c r="C140" s="153"/>
      <c r="D140" s="153"/>
      <c r="E140" s="153"/>
      <c r="F140" s="153"/>
      <c r="G140" s="153"/>
      <c r="H140" s="153"/>
      <c r="I140" s="153"/>
      <c r="J140" s="153"/>
      <c r="K140" s="153"/>
      <c r="L140" s="153"/>
    </row>
    <row r="141" spans="1:12" ht="18">
      <c r="A141" s="153"/>
      <c r="B141" s="153"/>
      <c r="C141" s="153"/>
      <c r="D141" s="153"/>
      <c r="E141" s="153"/>
      <c r="F141" s="153"/>
      <c r="G141" s="153"/>
      <c r="H141" s="153"/>
      <c r="I141" s="153"/>
      <c r="J141" s="153"/>
      <c r="K141" s="153"/>
      <c r="L141" s="153"/>
    </row>
    <row r="142" spans="1:12" ht="18">
      <c r="A142" s="153"/>
      <c r="B142" s="153"/>
      <c r="C142" s="153"/>
      <c r="D142" s="153"/>
      <c r="E142" s="153"/>
      <c r="F142" s="153"/>
      <c r="G142" s="153"/>
      <c r="H142" s="153"/>
      <c r="I142" s="153"/>
      <c r="J142" s="153"/>
      <c r="K142" s="153"/>
      <c r="L142" s="153"/>
    </row>
    <row r="143" spans="1:12" ht="18">
      <c r="A143" s="153"/>
      <c r="B143" s="153"/>
      <c r="C143" s="153"/>
      <c r="D143" s="153"/>
      <c r="E143" s="153"/>
      <c r="F143" s="153"/>
      <c r="G143" s="153"/>
      <c r="H143" s="153"/>
      <c r="I143" s="153"/>
      <c r="J143" s="153"/>
      <c r="K143" s="153"/>
      <c r="L143" s="153"/>
    </row>
    <row r="144" spans="1:12" ht="18">
      <c r="A144" s="153"/>
      <c r="B144" s="153"/>
      <c r="C144" s="153"/>
      <c r="D144" s="153"/>
      <c r="E144" s="153"/>
      <c r="F144" s="153"/>
      <c r="G144" s="153"/>
      <c r="H144" s="153"/>
      <c r="I144" s="153"/>
      <c r="J144" s="153"/>
      <c r="K144" s="153"/>
      <c r="L144" s="153"/>
    </row>
    <row r="145" spans="1:12" ht="18">
      <c r="A145" s="153"/>
      <c r="B145" s="153"/>
      <c r="C145" s="153"/>
      <c r="D145" s="153"/>
      <c r="E145" s="153"/>
      <c r="F145" s="153"/>
      <c r="G145" s="153"/>
      <c r="H145" s="153"/>
      <c r="I145" s="153"/>
      <c r="J145" s="153"/>
      <c r="K145" s="153"/>
      <c r="L145" s="153"/>
    </row>
    <row r="146" spans="1:12" ht="18">
      <c r="A146" s="153"/>
      <c r="B146" s="153"/>
      <c r="C146" s="153"/>
      <c r="D146" s="153"/>
      <c r="E146" s="153"/>
      <c r="F146" s="153"/>
      <c r="G146" s="153"/>
      <c r="H146" s="153"/>
      <c r="I146" s="153"/>
      <c r="J146" s="153"/>
      <c r="K146" s="153"/>
      <c r="L146" s="153"/>
    </row>
    <row r="147" spans="1:12" ht="18">
      <c r="A147" s="153"/>
      <c r="B147" s="153"/>
      <c r="C147" s="153"/>
      <c r="D147" s="153"/>
      <c r="E147" s="153"/>
      <c r="F147" s="153"/>
      <c r="G147" s="153"/>
      <c r="H147" s="153"/>
      <c r="I147" s="153"/>
      <c r="J147" s="153"/>
      <c r="K147" s="153"/>
      <c r="L147" s="153"/>
    </row>
    <row r="148" spans="1:12" ht="18">
      <c r="A148" s="153"/>
      <c r="B148" s="153"/>
      <c r="C148" s="153"/>
      <c r="D148" s="153"/>
      <c r="E148" s="153"/>
      <c r="F148" s="153"/>
      <c r="G148" s="153"/>
      <c r="H148" s="153"/>
      <c r="I148" s="153"/>
      <c r="J148" s="153"/>
      <c r="K148" s="153"/>
      <c r="L148" s="153"/>
    </row>
    <row r="149" spans="1:12" ht="18">
      <c r="A149" s="153"/>
      <c r="B149" s="153"/>
      <c r="C149" s="153"/>
      <c r="D149" s="153"/>
      <c r="E149" s="153"/>
      <c r="F149" s="153"/>
      <c r="G149" s="153"/>
      <c r="H149" s="153"/>
      <c r="I149" s="153"/>
      <c r="J149" s="153"/>
      <c r="K149" s="153"/>
      <c r="L149" s="153"/>
    </row>
    <row r="150" spans="1:12" ht="18">
      <c r="A150" s="153"/>
      <c r="B150" s="153"/>
      <c r="C150" s="153"/>
      <c r="D150" s="153"/>
      <c r="E150" s="153"/>
      <c r="F150" s="153"/>
      <c r="G150" s="153"/>
      <c r="H150" s="153"/>
      <c r="I150" s="153"/>
      <c r="J150" s="153"/>
      <c r="K150" s="153"/>
      <c r="L150" s="153"/>
    </row>
    <row r="151" spans="1:12" ht="18">
      <c r="A151" s="153"/>
      <c r="B151" s="153"/>
      <c r="C151" s="153"/>
      <c r="D151" s="153"/>
      <c r="E151" s="153"/>
      <c r="F151" s="153"/>
      <c r="G151" s="153"/>
      <c r="H151" s="153"/>
      <c r="I151" s="153"/>
      <c r="J151" s="153"/>
      <c r="K151" s="153"/>
      <c r="L151" s="153"/>
    </row>
    <row r="152" spans="1:12" ht="18">
      <c r="A152" s="153"/>
      <c r="B152" s="153"/>
      <c r="C152" s="153"/>
      <c r="D152" s="153"/>
      <c r="E152" s="153"/>
      <c r="F152" s="153"/>
      <c r="G152" s="153"/>
      <c r="H152" s="153"/>
      <c r="I152" s="153"/>
      <c r="J152" s="153"/>
      <c r="K152" s="153"/>
      <c r="L152" s="153"/>
    </row>
    <row r="153" spans="1:12" ht="18">
      <c r="A153" s="153"/>
      <c r="B153" s="153"/>
      <c r="C153" s="153"/>
      <c r="D153" s="153"/>
      <c r="E153" s="153"/>
      <c r="F153" s="153"/>
      <c r="G153" s="153"/>
      <c r="H153" s="153"/>
      <c r="I153" s="153"/>
      <c r="J153" s="153"/>
      <c r="K153" s="153"/>
      <c r="L153" s="153"/>
    </row>
    <row r="154" spans="1:12" ht="18">
      <c r="A154" s="153"/>
      <c r="B154" s="153"/>
      <c r="C154" s="153"/>
      <c r="D154" s="153"/>
      <c r="E154" s="153"/>
      <c r="F154" s="153"/>
      <c r="G154" s="153"/>
      <c r="H154" s="153"/>
      <c r="I154" s="153"/>
      <c r="J154" s="153"/>
      <c r="K154" s="153"/>
      <c r="L154" s="153"/>
    </row>
    <row r="155" spans="1:12" ht="18">
      <c r="A155" s="153"/>
      <c r="B155" s="153"/>
      <c r="C155" s="153"/>
      <c r="D155" s="153"/>
      <c r="E155" s="153"/>
      <c r="F155" s="153"/>
      <c r="G155" s="153"/>
      <c r="H155" s="153"/>
      <c r="I155" s="153"/>
      <c r="J155" s="153"/>
      <c r="K155" s="153"/>
      <c r="L155" s="153"/>
    </row>
    <row r="156" spans="1:12" ht="18">
      <c r="A156" s="153"/>
      <c r="B156" s="153"/>
      <c r="C156" s="153"/>
      <c r="D156" s="153"/>
      <c r="E156" s="153"/>
      <c r="F156" s="153"/>
      <c r="G156" s="153"/>
      <c r="H156" s="153"/>
      <c r="I156" s="153"/>
      <c r="J156" s="153"/>
      <c r="K156" s="153"/>
      <c r="L156" s="153"/>
    </row>
    <row r="157" spans="1:12" ht="18">
      <c r="A157" s="153"/>
      <c r="B157" s="153"/>
      <c r="C157" s="153"/>
      <c r="D157" s="153"/>
      <c r="E157" s="153"/>
      <c r="F157" s="153"/>
      <c r="G157" s="153"/>
      <c r="H157" s="153"/>
      <c r="I157" s="153"/>
      <c r="J157" s="153"/>
      <c r="K157" s="153"/>
      <c r="L157" s="153"/>
    </row>
    <row r="158" spans="1:12" ht="18">
      <c r="A158" s="153"/>
      <c r="B158" s="153"/>
      <c r="C158" s="153"/>
      <c r="D158" s="153"/>
      <c r="E158" s="153"/>
      <c r="F158" s="153"/>
      <c r="G158" s="153"/>
      <c r="H158" s="153"/>
      <c r="I158" s="153"/>
      <c r="J158" s="153"/>
      <c r="K158" s="153"/>
      <c r="L158" s="153"/>
    </row>
    <row r="159" spans="1:12" ht="18">
      <c r="A159" s="153"/>
      <c r="B159" s="153"/>
      <c r="C159" s="153"/>
      <c r="D159" s="153"/>
      <c r="E159" s="153"/>
      <c r="F159" s="153"/>
      <c r="G159" s="153"/>
      <c r="H159" s="153"/>
      <c r="I159" s="153"/>
      <c r="J159" s="153"/>
      <c r="K159" s="153"/>
      <c r="L159" s="153"/>
    </row>
    <row r="160" spans="1:12" ht="18">
      <c r="A160" s="153"/>
      <c r="B160" s="153"/>
      <c r="C160" s="153"/>
      <c r="D160" s="153"/>
      <c r="E160" s="153"/>
      <c r="F160" s="153"/>
      <c r="G160" s="153"/>
      <c r="H160" s="153"/>
      <c r="I160" s="153"/>
      <c r="J160" s="153"/>
      <c r="K160" s="153"/>
      <c r="L160" s="153"/>
    </row>
    <row r="161" spans="1:12" ht="18">
      <c r="A161" s="153"/>
      <c r="B161" s="153"/>
      <c r="C161" s="153"/>
      <c r="D161" s="153"/>
      <c r="E161" s="153"/>
      <c r="F161" s="153"/>
      <c r="G161" s="153"/>
      <c r="H161" s="153"/>
      <c r="I161" s="153"/>
      <c r="J161" s="153"/>
      <c r="K161" s="153"/>
      <c r="L161" s="153"/>
    </row>
    <row r="162" spans="1:12" ht="18">
      <c r="A162" s="153"/>
      <c r="B162" s="153"/>
      <c r="C162" s="153"/>
      <c r="D162" s="153"/>
      <c r="E162" s="153"/>
      <c r="F162" s="153"/>
      <c r="G162" s="153"/>
      <c r="H162" s="153"/>
      <c r="I162" s="153"/>
      <c r="J162" s="153"/>
      <c r="K162" s="153"/>
      <c r="L162" s="153"/>
    </row>
    <row r="163" spans="1:12" ht="18">
      <c r="A163" s="153"/>
      <c r="B163" s="153"/>
      <c r="C163" s="153"/>
      <c r="D163" s="153"/>
      <c r="E163" s="153"/>
      <c r="F163" s="153"/>
      <c r="G163" s="153"/>
      <c r="H163" s="153"/>
      <c r="I163" s="153"/>
      <c r="J163" s="153"/>
      <c r="K163" s="153"/>
      <c r="L163" s="153"/>
    </row>
    <row r="164" spans="1:12" ht="18">
      <c r="A164" s="153"/>
      <c r="B164" s="153"/>
      <c r="C164" s="153"/>
      <c r="D164" s="153"/>
      <c r="E164" s="153"/>
      <c r="F164" s="153"/>
      <c r="G164" s="153"/>
      <c r="H164" s="153"/>
      <c r="I164" s="153"/>
      <c r="J164" s="153"/>
      <c r="K164" s="153"/>
      <c r="L164" s="153"/>
    </row>
    <row r="165" spans="1:12" ht="18">
      <c r="A165" s="153"/>
      <c r="B165" s="153"/>
      <c r="C165" s="153"/>
      <c r="D165" s="153"/>
      <c r="E165" s="153"/>
      <c r="F165" s="153"/>
      <c r="G165" s="153"/>
      <c r="H165" s="153"/>
      <c r="I165" s="153"/>
      <c r="J165" s="153"/>
      <c r="K165" s="153"/>
      <c r="L165" s="153"/>
    </row>
    <row r="166" spans="1:12" ht="18">
      <c r="A166" s="153"/>
      <c r="B166" s="153"/>
      <c r="C166" s="153"/>
      <c r="D166" s="153"/>
      <c r="E166" s="153"/>
      <c r="F166" s="153"/>
      <c r="G166" s="153"/>
      <c r="H166" s="153"/>
      <c r="I166" s="153"/>
      <c r="J166" s="153"/>
      <c r="K166" s="153"/>
      <c r="L166" s="153"/>
    </row>
    <row r="167" spans="1:12" ht="18">
      <c r="A167" s="153"/>
      <c r="B167" s="153"/>
      <c r="C167" s="153"/>
      <c r="D167" s="153"/>
      <c r="E167" s="153"/>
      <c r="F167" s="153"/>
      <c r="G167" s="153"/>
      <c r="H167" s="153"/>
      <c r="I167" s="153"/>
      <c r="J167" s="153"/>
      <c r="K167" s="153"/>
      <c r="L167" s="153"/>
    </row>
    <row r="168" spans="1:12" ht="18">
      <c r="A168" s="153"/>
      <c r="B168" s="153"/>
      <c r="C168" s="153"/>
      <c r="D168" s="153"/>
      <c r="E168" s="153"/>
      <c r="F168" s="153"/>
      <c r="G168" s="153"/>
      <c r="H168" s="153"/>
      <c r="I168" s="153"/>
      <c r="J168" s="153"/>
      <c r="K168" s="153"/>
      <c r="L168" s="153"/>
    </row>
    <row r="169" spans="1:12" ht="18">
      <c r="A169" s="153"/>
      <c r="B169" s="153"/>
      <c r="C169" s="153"/>
      <c r="D169" s="153"/>
      <c r="E169" s="153"/>
      <c r="F169" s="153"/>
      <c r="G169" s="153"/>
      <c r="H169" s="153"/>
      <c r="I169" s="153"/>
      <c r="J169" s="153"/>
      <c r="K169" s="153"/>
      <c r="L169" s="153"/>
    </row>
    <row r="170" spans="1:12" ht="18">
      <c r="A170" s="153"/>
      <c r="B170" s="153"/>
      <c r="C170" s="153"/>
      <c r="D170" s="153"/>
      <c r="E170" s="153"/>
      <c r="F170" s="153"/>
      <c r="G170" s="153"/>
      <c r="H170" s="153"/>
      <c r="I170" s="153"/>
      <c r="J170" s="153"/>
      <c r="K170" s="153"/>
      <c r="L170" s="153"/>
    </row>
    <row r="171" spans="1:12" ht="18">
      <c r="A171" s="153"/>
      <c r="B171" s="153"/>
      <c r="C171" s="153"/>
      <c r="D171" s="153"/>
      <c r="E171" s="153"/>
      <c r="F171" s="153"/>
      <c r="G171" s="153"/>
      <c r="H171" s="153"/>
      <c r="I171" s="153"/>
      <c r="J171" s="153"/>
      <c r="K171" s="153"/>
      <c r="L171" s="153"/>
    </row>
    <row r="172" spans="1:12" ht="18">
      <c r="A172" s="153"/>
      <c r="B172" s="153"/>
      <c r="C172" s="153"/>
      <c r="D172" s="153"/>
      <c r="E172" s="153"/>
      <c r="F172" s="153"/>
      <c r="G172" s="153"/>
      <c r="H172" s="153"/>
      <c r="I172" s="153"/>
      <c r="J172" s="153"/>
      <c r="K172" s="153"/>
      <c r="L172" s="153"/>
    </row>
    <row r="173" spans="1:12" ht="18">
      <c r="A173" s="153"/>
      <c r="B173" s="153"/>
      <c r="C173" s="153"/>
      <c r="D173" s="153"/>
      <c r="E173" s="153"/>
      <c r="F173" s="153"/>
      <c r="G173" s="153"/>
      <c r="H173" s="153"/>
      <c r="I173" s="153"/>
      <c r="J173" s="153"/>
      <c r="K173" s="153"/>
      <c r="L173" s="153"/>
    </row>
    <row r="174" spans="1:12" ht="18">
      <c r="A174" s="153"/>
      <c r="B174" s="153"/>
      <c r="C174" s="153"/>
      <c r="D174" s="153"/>
      <c r="E174" s="153"/>
      <c r="F174" s="153"/>
      <c r="G174" s="153"/>
      <c r="H174" s="153"/>
      <c r="I174" s="153"/>
      <c r="J174" s="153"/>
      <c r="K174" s="153"/>
      <c r="L174" s="153"/>
    </row>
    <row r="175" spans="1:12" ht="18">
      <c r="A175" s="153"/>
      <c r="B175" s="153"/>
      <c r="C175" s="153"/>
      <c r="D175" s="153"/>
      <c r="E175" s="153"/>
      <c r="F175" s="153"/>
      <c r="G175" s="153"/>
      <c r="H175" s="153"/>
      <c r="I175" s="153"/>
      <c r="J175" s="153"/>
      <c r="K175" s="153"/>
      <c r="L175" s="153"/>
    </row>
    <row r="176" spans="1:12" ht="18">
      <c r="A176" s="153"/>
      <c r="B176" s="153"/>
      <c r="C176" s="153"/>
      <c r="D176" s="153"/>
      <c r="E176" s="153"/>
      <c r="F176" s="153"/>
      <c r="G176" s="153"/>
      <c r="H176" s="153"/>
      <c r="I176" s="153"/>
      <c r="J176" s="153"/>
      <c r="K176" s="153"/>
      <c r="L176" s="153"/>
    </row>
    <row r="177" spans="1:12" ht="18">
      <c r="A177" s="153"/>
      <c r="B177" s="153"/>
      <c r="C177" s="153"/>
      <c r="D177" s="153"/>
      <c r="E177" s="153"/>
      <c r="F177" s="153"/>
      <c r="G177" s="153"/>
      <c r="H177" s="153"/>
      <c r="I177" s="153"/>
      <c r="J177" s="153"/>
      <c r="K177" s="153"/>
      <c r="L177" s="153"/>
    </row>
    <row r="178" spans="1:12" ht="18">
      <c r="A178" s="153"/>
      <c r="B178" s="153"/>
      <c r="C178" s="153"/>
      <c r="D178" s="153"/>
      <c r="E178" s="153"/>
      <c r="F178" s="153"/>
      <c r="G178" s="153"/>
      <c r="H178" s="153"/>
      <c r="I178" s="153"/>
      <c r="J178" s="153"/>
      <c r="K178" s="153"/>
      <c r="L178" s="153"/>
    </row>
    <row r="179" spans="1:12" ht="18">
      <c r="A179" s="153"/>
      <c r="B179" s="153"/>
      <c r="C179" s="153"/>
      <c r="D179" s="153"/>
      <c r="E179" s="153"/>
      <c r="F179" s="153"/>
      <c r="G179" s="153"/>
      <c r="H179" s="153"/>
      <c r="I179" s="153"/>
      <c r="J179" s="153"/>
      <c r="K179" s="153"/>
      <c r="L179" s="153"/>
    </row>
    <row r="180" spans="1:12" ht="18">
      <c r="A180" s="153"/>
      <c r="B180" s="153"/>
      <c r="C180" s="153"/>
      <c r="D180" s="153"/>
      <c r="E180" s="153"/>
      <c r="F180" s="153"/>
      <c r="G180" s="153"/>
      <c r="H180" s="153"/>
      <c r="I180" s="153"/>
      <c r="J180" s="153"/>
      <c r="K180" s="153"/>
      <c r="L180" s="153"/>
    </row>
    <row r="181" spans="1:12" ht="18">
      <c r="A181" s="153"/>
      <c r="B181" s="153"/>
      <c r="C181" s="153"/>
      <c r="D181" s="153"/>
      <c r="E181" s="153"/>
      <c r="F181" s="153"/>
      <c r="G181" s="153"/>
      <c r="H181" s="153"/>
      <c r="I181" s="153"/>
      <c r="J181" s="153"/>
      <c r="K181" s="153"/>
      <c r="L181" s="153"/>
    </row>
    <row r="182" spans="1:12" ht="18">
      <c r="A182" s="153"/>
      <c r="B182" s="153"/>
      <c r="C182" s="153"/>
      <c r="D182" s="153"/>
      <c r="E182" s="153"/>
      <c r="F182" s="153"/>
      <c r="G182" s="153"/>
      <c r="H182" s="153"/>
      <c r="I182" s="153"/>
      <c r="J182" s="153"/>
      <c r="K182" s="153"/>
      <c r="L182" s="153"/>
    </row>
    <row r="183" spans="1:12" ht="18">
      <c r="A183" s="153"/>
      <c r="B183" s="153"/>
      <c r="C183" s="153"/>
      <c r="D183" s="153"/>
      <c r="E183" s="153"/>
      <c r="F183" s="153"/>
      <c r="G183" s="153"/>
      <c r="H183" s="153"/>
      <c r="I183" s="153"/>
      <c r="J183" s="153"/>
      <c r="K183" s="153"/>
      <c r="L183" s="153"/>
    </row>
    <row r="184" spans="1:12" ht="18">
      <c r="A184" s="153"/>
      <c r="B184" s="153"/>
      <c r="C184" s="153"/>
      <c r="D184" s="153"/>
      <c r="E184" s="153"/>
      <c r="F184" s="153"/>
      <c r="G184" s="153"/>
      <c r="H184" s="153"/>
      <c r="I184" s="153"/>
      <c r="J184" s="153"/>
      <c r="K184" s="153"/>
      <c r="L184" s="153"/>
    </row>
    <row r="185" spans="1:12" ht="18">
      <c r="A185" s="153"/>
      <c r="B185" s="153"/>
      <c r="C185" s="153"/>
      <c r="D185" s="153"/>
      <c r="E185" s="153"/>
      <c r="F185" s="153"/>
      <c r="G185" s="153"/>
      <c r="H185" s="153"/>
      <c r="I185" s="153"/>
      <c r="J185" s="153"/>
      <c r="K185" s="153"/>
      <c r="L185" s="153"/>
    </row>
    <row r="186" spans="1:12" ht="18">
      <c r="A186" s="153"/>
      <c r="B186" s="153"/>
      <c r="C186" s="153"/>
      <c r="D186" s="153"/>
      <c r="E186" s="153"/>
      <c r="F186" s="153"/>
      <c r="G186" s="153"/>
      <c r="H186" s="153"/>
      <c r="I186" s="153"/>
      <c r="J186" s="153"/>
      <c r="K186" s="153"/>
      <c r="L186" s="153"/>
    </row>
    <row r="187" spans="1:12" ht="18">
      <c r="A187" s="153"/>
      <c r="B187" s="153"/>
      <c r="C187" s="153"/>
      <c r="D187" s="153"/>
      <c r="E187" s="153"/>
      <c r="F187" s="153"/>
      <c r="G187" s="153"/>
      <c r="H187" s="153"/>
      <c r="I187" s="153"/>
      <c r="J187" s="153"/>
      <c r="K187" s="153"/>
      <c r="L187" s="153"/>
    </row>
    <row r="188" spans="1:12" ht="18">
      <c r="A188" s="153"/>
      <c r="B188" s="153"/>
      <c r="C188" s="153"/>
      <c r="D188" s="153"/>
      <c r="E188" s="153"/>
      <c r="F188" s="153"/>
      <c r="G188" s="153"/>
      <c r="H188" s="153"/>
      <c r="I188" s="153"/>
      <c r="J188" s="153"/>
      <c r="K188" s="153"/>
      <c r="L188" s="153"/>
    </row>
  </sheetData>
  <sheetProtection sheet="1" objects="1" scenarios="1"/>
  <mergeCells count="3">
    <mergeCell ref="A1:H1"/>
    <mergeCell ref="A2:H2"/>
    <mergeCell ref="B30:D30"/>
  </mergeCells>
  <phoneticPr fontId="0" type="noConversion"/>
  <printOptions horizontalCentered="1"/>
  <pageMargins left="0.75" right="0.75" top="1.4" bottom="1" header="1" footer="0.5"/>
  <pageSetup scale="76" orientation="portrait" r:id="rId1"/>
  <headerFooter alignWithMargins="0">
    <oddHeader>&amp;C&amp;"Times New Roman,Bold"&amp;16ATTACHMENT D, Page &amp;P of &amp;N
EVERGY</oddHeader>
    <oddFooter>&amp;R&amp;1#&amp;"Calibri"&amp;10&amp;KA80000Internal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N715"/>
  <sheetViews>
    <sheetView view="pageBreakPreview" zoomScaleNormal="100" zoomScaleSheetLayoutView="100" workbookViewId="0">
      <selection sqref="A1:J1"/>
    </sheetView>
  </sheetViews>
  <sheetFormatPr defaultColWidth="9.109375" defaultRowHeight="13.2"/>
  <cols>
    <col min="1" max="2" width="9.44140625" style="506" customWidth="1"/>
    <col min="3" max="3" width="42.33203125" style="484" customWidth="1"/>
    <col min="4" max="4" width="16.33203125" style="484" bestFit="1" customWidth="1"/>
    <col min="5" max="9" width="15.109375" style="484" customWidth="1"/>
    <col min="10" max="10" width="50.5546875" style="484" customWidth="1"/>
    <col min="11" max="11" width="13.88671875" style="510" customWidth="1"/>
    <col min="12" max="12" width="11.33203125" style="510" customWidth="1"/>
    <col min="13" max="13" width="9.88671875" style="510" bestFit="1" customWidth="1"/>
    <col min="14" max="16384" width="9.109375" style="510"/>
  </cols>
  <sheetData>
    <row r="1" spans="1:10" ht="20.399999999999999">
      <c r="A1" s="1740" t="s">
        <v>2993</v>
      </c>
      <c r="B1" s="1740"/>
      <c r="C1" s="1741"/>
      <c r="D1" s="1741"/>
      <c r="E1" s="1741"/>
      <c r="F1" s="1741"/>
      <c r="G1" s="1741"/>
      <c r="H1" s="1741"/>
      <c r="I1" s="1741"/>
      <c r="J1" s="1741"/>
    </row>
    <row r="2" spans="1:10" ht="19.2">
      <c r="A2" s="1742" t="str">
        <f>'Item 2,  Demand Chg. Calc.'!A2:G2</f>
        <v>For Contract Year Beginning June 1, 2024, Based on 2023 Data</v>
      </c>
      <c r="B2" s="1742"/>
      <c r="C2" s="1743"/>
      <c r="D2" s="1743"/>
      <c r="E2" s="1743"/>
      <c r="F2" s="1743"/>
      <c r="G2" s="1743"/>
      <c r="H2" s="1743"/>
      <c r="I2" s="1743"/>
      <c r="J2" s="1743"/>
    </row>
    <row r="3" spans="1:10">
      <c r="A3" s="485"/>
      <c r="B3" s="485"/>
      <c r="C3" s="486"/>
      <c r="D3" s="486"/>
      <c r="E3" s="486"/>
      <c r="F3" s="486"/>
      <c r="G3" s="486"/>
      <c r="H3" s="487"/>
      <c r="I3" s="486"/>
      <c r="J3" s="486"/>
    </row>
    <row r="4" spans="1:10" ht="15.6">
      <c r="A4" s="485"/>
      <c r="B4" s="485"/>
      <c r="C4" s="487"/>
      <c r="D4" s="488" t="s">
        <v>480</v>
      </c>
      <c r="E4" s="488" t="s">
        <v>481</v>
      </c>
      <c r="F4" s="488" t="s">
        <v>482</v>
      </c>
      <c r="G4" s="488" t="s">
        <v>483</v>
      </c>
      <c r="H4" s="488" t="s">
        <v>484</v>
      </c>
      <c r="I4" s="488" t="s">
        <v>884</v>
      </c>
      <c r="J4" s="488" t="s">
        <v>485</v>
      </c>
    </row>
    <row r="5" spans="1:10" ht="15.6">
      <c r="A5" s="485"/>
      <c r="B5" s="485"/>
      <c r="C5" s="486"/>
      <c r="D5" s="489" t="s">
        <v>1545</v>
      </c>
      <c r="E5" s="490" t="s">
        <v>1578</v>
      </c>
      <c r="F5" s="491"/>
      <c r="G5" s="490">
        <v>1</v>
      </c>
      <c r="H5" s="490">
        <v>0.5</v>
      </c>
      <c r="I5" s="488" t="s">
        <v>468</v>
      </c>
      <c r="J5" s="489" t="s">
        <v>476</v>
      </c>
    </row>
    <row r="6" spans="1:10" ht="15.6">
      <c r="A6" s="485"/>
      <c r="B6" s="485"/>
      <c r="C6" s="486"/>
      <c r="D6" s="489" t="s">
        <v>1568</v>
      </c>
      <c r="E6" s="488" t="s">
        <v>1583</v>
      </c>
      <c r="F6" s="488"/>
      <c r="G6" s="488" t="s">
        <v>116</v>
      </c>
      <c r="H6" s="488" t="s">
        <v>116</v>
      </c>
      <c r="I6" s="488" t="s">
        <v>1079</v>
      </c>
      <c r="J6" s="489" t="s">
        <v>15</v>
      </c>
    </row>
    <row r="7" spans="1:10" ht="15.6">
      <c r="A7" s="485"/>
      <c r="B7" s="485"/>
      <c r="C7" s="486"/>
      <c r="D7" s="489" t="s">
        <v>1569</v>
      </c>
      <c r="E7" s="492" t="s">
        <v>220</v>
      </c>
      <c r="F7" s="488"/>
      <c r="G7" s="488" t="s">
        <v>1584</v>
      </c>
      <c r="H7" s="488" t="s">
        <v>1585</v>
      </c>
      <c r="I7" s="488" t="s">
        <v>299</v>
      </c>
      <c r="J7" s="489"/>
    </row>
    <row r="8" spans="1:10" ht="15.6">
      <c r="A8" s="485"/>
      <c r="B8" s="485"/>
      <c r="C8" s="486"/>
      <c r="D8" s="493" t="s">
        <v>1948</v>
      </c>
      <c r="E8" s="492"/>
      <c r="F8" s="494"/>
      <c r="G8" s="495"/>
      <c r="H8" s="495"/>
      <c r="I8" s="495"/>
      <c r="J8" s="495"/>
    </row>
    <row r="9" spans="1:10">
      <c r="A9" s="485"/>
      <c r="B9" s="485"/>
      <c r="C9" s="486"/>
      <c r="D9" s="496"/>
      <c r="E9" s="497"/>
      <c r="F9" s="498"/>
      <c r="I9" s="486"/>
      <c r="J9" s="486"/>
    </row>
    <row r="10" spans="1:10" ht="13.8">
      <c r="A10" s="499" t="s">
        <v>531</v>
      </c>
      <c r="B10" s="500" t="s">
        <v>1078</v>
      </c>
      <c r="C10" s="501" t="s">
        <v>1077</v>
      </c>
      <c r="D10" s="502"/>
      <c r="E10" s="503"/>
      <c r="F10" s="503"/>
      <c r="G10" s="503"/>
      <c r="H10" s="503"/>
      <c r="I10" s="503"/>
      <c r="J10" s="502"/>
    </row>
    <row r="11" spans="1:10">
      <c r="A11" s="618">
        <v>1</v>
      </c>
      <c r="B11" s="539" t="str">
        <f>'Wrksht. F, CWIP Desc. EKC'!B11</f>
        <v>1070002</v>
      </c>
      <c r="C11" s="540" t="str">
        <f>'Wrksht. F, CWIP Desc. EKC'!C11</f>
        <v>A27502</v>
      </c>
      <c r="D11" s="541">
        <f>'Wrsht. G, CWIP AFUDC Cre. EKC '!I12</f>
        <v>0</v>
      </c>
      <c r="E11" s="542" t="str">
        <f>'Wrksht. F, CWIP Desc. EKC'!E11</f>
        <v>O</v>
      </c>
      <c r="F11" s="541"/>
      <c r="G11" s="541">
        <f t="shared" ref="G11:G42" si="0">IF(H11=0,D11,0)</f>
        <v>0</v>
      </c>
      <c r="H11" s="541">
        <f>D11*0.5</f>
        <v>0</v>
      </c>
      <c r="I11" s="541"/>
      <c r="J11" s="543" t="str">
        <f>'Wrksht. F, CWIP Desc. EKC'!F11</f>
        <v xml:space="preserve">ENERGY CENTER VOICE NETWORK SYSTEM </v>
      </c>
    </row>
    <row r="12" spans="1:10">
      <c r="A12" s="618">
        <v>2</v>
      </c>
      <c r="B12" s="539" t="str">
        <f>'Wrksht. F, CWIP Desc. EKC'!B12</f>
        <v>1070002</v>
      </c>
      <c r="C12" s="540" t="str">
        <f>'Wrksht. F, CWIP Desc. EKC'!C12</f>
        <v>A29962</v>
      </c>
      <c r="D12" s="541">
        <f>'Wrsht. G, CWIP AFUDC Cre. EKC '!I13</f>
        <v>0</v>
      </c>
      <c r="E12" s="542" t="str">
        <f>'Wrksht. F, CWIP Desc. EKC'!E12</f>
        <v>PC</v>
      </c>
      <c r="F12" s="541"/>
      <c r="G12" s="541">
        <f t="shared" si="0"/>
        <v>0</v>
      </c>
      <c r="H12" s="541">
        <v>0</v>
      </c>
      <c r="I12" s="541"/>
      <c r="J12" s="543" t="str">
        <f>'Wrksht. F, CWIP Desc. EKC'!F12</f>
        <v>ENVIRONMENTAL INSTRUMENTATION</v>
      </c>
    </row>
    <row r="13" spans="1:10">
      <c r="A13" s="618">
        <f t="shared" ref="A13:A86" si="1">A12+1</f>
        <v>3</v>
      </c>
      <c r="B13" s="539" t="str">
        <f>'Wrksht. F, CWIP Desc. EKC'!B13</f>
        <v>1070002</v>
      </c>
      <c r="C13" s="540" t="str">
        <f>'Wrksht. F, CWIP Desc. EKC'!C13</f>
        <v>TEC0700036</v>
      </c>
      <c r="D13" s="541">
        <f>'Wrsht. G, CWIP AFUDC Cre. EKC '!I14</f>
        <v>0</v>
      </c>
      <c r="E13" s="542" t="str">
        <f>'Wrksht. F, CWIP Desc. EKC'!E13</f>
        <v>O</v>
      </c>
      <c r="F13" s="541"/>
      <c r="G13" s="541">
        <f t="shared" si="0"/>
        <v>0</v>
      </c>
      <c r="H13" s="541">
        <f>D13*0.5</f>
        <v>0</v>
      </c>
      <c r="I13" s="544"/>
      <c r="J13" s="543" t="str">
        <f>'Wrksht. F, CWIP Desc. EKC'!F13</f>
        <v>T7 TURBINE PROTECTIVE DEVICES UPGRADE</v>
      </c>
    </row>
    <row r="14" spans="1:10">
      <c r="A14" s="618">
        <f t="shared" si="1"/>
        <v>4</v>
      </c>
      <c r="B14" s="539" t="str">
        <f>'Wrksht. F, CWIP Desc. EKC'!B14</f>
        <v>1070002</v>
      </c>
      <c r="C14" s="540" t="str">
        <f>'Wrksht. F, CWIP Desc. EKC'!C14</f>
        <v>TEC0700121</v>
      </c>
      <c r="D14" s="541">
        <f>'Wrsht. G, CWIP AFUDC Cre. EKC '!I15</f>
        <v>0</v>
      </c>
      <c r="E14" s="542" t="str">
        <f>'Wrksht. F, CWIP Desc. EKC'!E14</f>
        <v>PC</v>
      </c>
      <c r="F14" s="541"/>
      <c r="G14" s="541">
        <f t="shared" si="0"/>
        <v>0</v>
      </c>
      <c r="H14" s="541">
        <v>0</v>
      </c>
      <c r="I14" s="544"/>
      <c r="J14" s="543" t="str">
        <f>'Wrksht. F, CWIP Desc. EKC'!F14</f>
        <v>T7 &amp; T8    MERCURY CEM</v>
      </c>
    </row>
    <row r="15" spans="1:10">
      <c r="A15" s="618">
        <f t="shared" si="1"/>
        <v>5</v>
      </c>
      <c r="B15" s="539" t="str">
        <f>'Wrksht. F, CWIP Desc. EKC'!B15</f>
        <v>1070002</v>
      </c>
      <c r="C15" s="540" t="str">
        <f>'Wrksht. F, CWIP Desc. EKC'!C15</f>
        <v>TEC0700571</v>
      </c>
      <c r="D15" s="541">
        <f>'Wrsht. G, CWIP AFUDC Cre. EKC '!I16</f>
        <v>0</v>
      </c>
      <c r="E15" s="542" t="str">
        <f>'Wrksht. F, CWIP Desc. EKC'!E15</f>
        <v>O</v>
      </c>
      <c r="F15" s="541"/>
      <c r="G15" s="541">
        <f t="shared" si="0"/>
        <v>0</v>
      </c>
      <c r="H15" s="541">
        <f t="shared" ref="H15:H20" si="2">D15*0.5</f>
        <v>0</v>
      </c>
      <c r="I15" s="544"/>
      <c r="J15" s="543" t="str">
        <f>'Wrksht. F, CWIP Desc. EKC'!F15</f>
        <v>T7/9 &amp; T8/10 REAL TIME PERFORMANCE</v>
      </c>
    </row>
    <row r="16" spans="1:10">
      <c r="A16" s="618">
        <f t="shared" si="1"/>
        <v>6</v>
      </c>
      <c r="B16" s="539" t="str">
        <f>'Wrksht. F, CWIP Desc. EKC'!B16</f>
        <v>1070002</v>
      </c>
      <c r="C16" s="540" t="str">
        <f>'Wrksht. F, CWIP Desc. EKC'!C16</f>
        <v>TEC0701293</v>
      </c>
      <c r="D16" s="541">
        <f>'Wrsht. G, CWIP AFUDC Cre. EKC '!I17</f>
        <v>0</v>
      </c>
      <c r="E16" s="542" t="str">
        <f>'Wrksht. F, CWIP Desc. EKC'!E16</f>
        <v>O</v>
      </c>
      <c r="F16" s="541"/>
      <c r="G16" s="541">
        <f t="shared" si="0"/>
        <v>0</v>
      </c>
      <c r="H16" s="541">
        <f t="shared" si="2"/>
        <v>0</v>
      </c>
      <c r="I16" s="544"/>
      <c r="J16" s="543" t="str">
        <f>'Wrksht. F, CWIP Desc. EKC'!F16</f>
        <v>T8 SOFA PURCHASE SPEC &amp; ENGINEERING STUDY</v>
      </c>
    </row>
    <row r="17" spans="1:10">
      <c r="A17" s="618">
        <f t="shared" si="1"/>
        <v>7</v>
      </c>
      <c r="B17" s="539" t="str">
        <f>'Wrksht. F, CWIP Desc. EKC'!B17</f>
        <v>1070002</v>
      </c>
      <c r="C17" s="540" t="str">
        <f>'Wrksht. F, CWIP Desc. EKC'!C17</f>
        <v>TEC0705715</v>
      </c>
      <c r="D17" s="541">
        <f>'Wrsht. G, CWIP AFUDC Cre. EKC '!I18</f>
        <v>0</v>
      </c>
      <c r="E17" s="542" t="str">
        <f>'Wrksht. F, CWIP Desc. EKC'!E17</f>
        <v>O</v>
      </c>
      <c r="F17" s="541"/>
      <c r="G17" s="541">
        <f t="shared" si="0"/>
        <v>0</v>
      </c>
      <c r="H17" s="541">
        <f t="shared" si="2"/>
        <v>0</v>
      </c>
      <c r="I17" s="544"/>
      <c r="J17" s="543" t="str">
        <f>'Wrksht. F, CWIP Desc. EKC'!F17</f>
        <v>T8 COAL MILL PLATFORMS</v>
      </c>
    </row>
    <row r="18" spans="1:10">
      <c r="A18" s="618">
        <f t="shared" si="1"/>
        <v>8</v>
      </c>
      <c r="B18" s="539" t="str">
        <f>'Wrksht. F, CWIP Desc. EKC'!B18</f>
        <v>1070002</v>
      </c>
      <c r="C18" s="540" t="str">
        <f>'Wrksht. F, CWIP Desc. EKC'!C18</f>
        <v xml:space="preserve">TEC0705816 </v>
      </c>
      <c r="D18" s="541">
        <f>'Wrsht. G, CWIP AFUDC Cre. EKC '!I19</f>
        <v>0</v>
      </c>
      <c r="E18" s="542" t="str">
        <f>'Wrksht. F, CWIP Desc. EKC'!E18</f>
        <v>O</v>
      </c>
      <c r="F18" s="541"/>
      <c r="G18" s="541">
        <f t="shared" si="0"/>
        <v>0</v>
      </c>
      <c r="H18" s="541">
        <f t="shared" si="2"/>
        <v>0</v>
      </c>
      <c r="I18" s="544"/>
      <c r="J18" s="543" t="str">
        <f>'Wrksht. F, CWIP Desc. EKC'!F18</f>
        <v>T7 REPLACE CIRCULATING WATER LINES</v>
      </c>
    </row>
    <row r="19" spans="1:10">
      <c r="A19" s="619">
        <f t="shared" si="1"/>
        <v>9</v>
      </c>
      <c r="B19" s="539" t="str">
        <f>'Wrksht. F, CWIP Desc. EKC'!B19</f>
        <v>1070002</v>
      </c>
      <c r="C19" s="540" t="str">
        <f>'Wrksht. F, CWIP Desc. EKC'!C19</f>
        <v>TEC0705945</v>
      </c>
      <c r="D19" s="541">
        <f>'Wrsht. G, CWIP AFUDC Cre. EKC '!I20</f>
        <v>0</v>
      </c>
      <c r="E19" s="542" t="str">
        <f>'Wrksht. F, CWIP Desc. EKC'!E19</f>
        <v>O</v>
      </c>
      <c r="F19" s="541"/>
      <c r="G19" s="541">
        <f t="shared" si="0"/>
        <v>0</v>
      </c>
      <c r="H19" s="541">
        <f t="shared" si="2"/>
        <v>0</v>
      </c>
      <c r="I19" s="544"/>
      <c r="J19" s="543" t="str">
        <f>'Wrksht. F, CWIP Desc. EKC'!F19</f>
        <v>T8 LTSH REPLACEMENT</v>
      </c>
    </row>
    <row r="20" spans="1:10">
      <c r="A20" s="618">
        <f t="shared" si="1"/>
        <v>10</v>
      </c>
      <c r="B20" s="539" t="str">
        <f>'Wrksht. F, CWIP Desc. EKC'!B20</f>
        <v>1070002</v>
      </c>
      <c r="C20" s="540" t="str">
        <f>'Wrksht. F, CWIP Desc. EKC'!C20</f>
        <v>TEC0800275</v>
      </c>
      <c r="D20" s="541">
        <f>'Wrsht. G, CWIP AFUDC Cre. EKC '!I21</f>
        <v>0</v>
      </c>
      <c r="E20" s="542" t="str">
        <f>'Wrksht. F, CWIP Desc. EKC'!E20</f>
        <v>O</v>
      </c>
      <c r="F20" s="541"/>
      <c r="G20" s="541">
        <f t="shared" si="0"/>
        <v>0</v>
      </c>
      <c r="H20" s="541">
        <f t="shared" si="2"/>
        <v>0</v>
      </c>
      <c r="I20" s="544"/>
      <c r="J20" s="543" t="str">
        <f>'Wrksht. F, CWIP Desc. EKC'!F20</f>
        <v>T-7, A-5 WALLBLOWER: MODEL RW-2</v>
      </c>
    </row>
    <row r="21" spans="1:10">
      <c r="A21" s="618">
        <f t="shared" si="1"/>
        <v>11</v>
      </c>
      <c r="B21" s="539" t="str">
        <f>'Wrksht. F, CWIP Desc. EKC'!B21</f>
        <v>1070002</v>
      </c>
      <c r="C21" s="540" t="str">
        <f>'Wrksht. F, CWIP Desc. EKC'!C21</f>
        <v>TEC0800624</v>
      </c>
      <c r="D21" s="541">
        <f>'Wrsht. G, CWIP AFUDC Cre. EKC '!I22</f>
        <v>0</v>
      </c>
      <c r="E21" s="542" t="str">
        <f>'Wrksht. F, CWIP Desc. EKC'!E21</f>
        <v>PC</v>
      </c>
      <c r="F21" s="541"/>
      <c r="G21" s="541">
        <f t="shared" si="0"/>
        <v>0</v>
      </c>
      <c r="H21" s="541">
        <v>0</v>
      </c>
      <c r="I21" s="544"/>
      <c r="J21" s="543" t="str">
        <f>'Wrksht. F, CWIP Desc. EKC'!F21</f>
        <v>T-7 CEM REPLACEMENT PROJECT</v>
      </c>
    </row>
    <row r="22" spans="1:10">
      <c r="A22" s="618">
        <f t="shared" si="1"/>
        <v>12</v>
      </c>
      <c r="B22" s="539" t="str">
        <f>'Wrksht. F, CWIP Desc. EKC'!B22</f>
        <v>1070002</v>
      </c>
      <c r="C22" s="540" t="str">
        <f>'Wrksht. F, CWIP Desc. EKC'!C22</f>
        <v>TEC0800625</v>
      </c>
      <c r="D22" s="541">
        <f>'Wrsht. G, CWIP AFUDC Cre. EKC '!I23</f>
        <v>0</v>
      </c>
      <c r="E22" s="542" t="str">
        <f>'Wrksht. F, CWIP Desc. EKC'!E22</f>
        <v>PC</v>
      </c>
      <c r="F22" s="541"/>
      <c r="G22" s="541">
        <f t="shared" si="0"/>
        <v>0</v>
      </c>
      <c r="H22" s="541">
        <v>0</v>
      </c>
      <c r="I22" s="544"/>
      <c r="J22" s="543" t="str">
        <f>'Wrksht. F, CWIP Desc. EKC'!F22</f>
        <v>T8 CEM REPLACEMENT PROJECT</v>
      </c>
    </row>
    <row r="23" spans="1:10">
      <c r="A23" s="618">
        <f t="shared" si="1"/>
        <v>13</v>
      </c>
      <c r="B23" s="539" t="str">
        <f>'Wrksht. F, CWIP Desc. EKC'!B23</f>
        <v>1070002</v>
      </c>
      <c r="C23" s="540" t="str">
        <f>'Wrksht. F, CWIP Desc. EKC'!C23</f>
        <v>TEC0800881</v>
      </c>
      <c r="D23" s="541">
        <f>'Wrsht. G, CWIP AFUDC Cre. EKC '!I24</f>
        <v>0</v>
      </c>
      <c r="E23" s="542" t="str">
        <f>'Wrksht. F, CWIP Desc. EKC'!E23</f>
        <v>O</v>
      </c>
      <c r="F23" s="541"/>
      <c r="G23" s="541">
        <f t="shared" si="0"/>
        <v>0</v>
      </c>
      <c r="H23" s="541">
        <f>D23*0.5</f>
        <v>0</v>
      </c>
      <c r="I23" s="544"/>
      <c r="J23" s="543" t="str">
        <f>'Wrksht. F, CWIP Desc. EKC'!F23</f>
        <v>COOLING TOWER CROSSTIE-L3-LEC</v>
      </c>
    </row>
    <row r="24" spans="1:10">
      <c r="A24" s="618">
        <f t="shared" si="1"/>
        <v>14</v>
      </c>
      <c r="B24" s="539" t="str">
        <f>'Wrksht. F, CWIP Desc. EKC'!B24</f>
        <v>1070002</v>
      </c>
      <c r="C24" s="540" t="str">
        <f>'Wrksht. F, CWIP Desc. EKC'!C24</f>
        <v>TEC0800915</v>
      </c>
      <c r="D24" s="541">
        <f>'Wrsht. G, CWIP AFUDC Cre. EKC '!I25</f>
        <v>0</v>
      </c>
      <c r="E24" s="542" t="str">
        <f>'Wrksht. F, CWIP Desc. EKC'!E24</f>
        <v>O</v>
      </c>
      <c r="F24" s="541"/>
      <c r="G24" s="541">
        <f t="shared" si="0"/>
        <v>0</v>
      </c>
      <c r="H24" s="541">
        <f>D24*0.5</f>
        <v>0</v>
      </c>
      <c r="I24" s="544"/>
      <c r="J24" s="543" t="str">
        <f>'Wrksht. F, CWIP Desc. EKC'!F24</f>
        <v>T8 HEP ACOUSTIC EQUIPMENT</v>
      </c>
    </row>
    <row r="25" spans="1:10">
      <c r="A25" s="618">
        <f t="shared" si="1"/>
        <v>15</v>
      </c>
      <c r="B25" s="539" t="str">
        <f>'Wrksht. F, CWIP Desc. EKC'!B25</f>
        <v>1070002</v>
      </c>
      <c r="C25" s="540" t="str">
        <f>'Wrksht. F, CWIP Desc. EKC'!C25</f>
        <v>TEC0801432</v>
      </c>
      <c r="D25" s="541">
        <f>'Wrsht. G, CWIP AFUDC Cre. EKC '!I26</f>
        <v>0</v>
      </c>
      <c r="E25" s="542" t="str">
        <f>'Wrksht. F, CWIP Desc. EKC'!E25</f>
        <v>O</v>
      </c>
      <c r="F25" s="541"/>
      <c r="G25" s="541">
        <f t="shared" si="0"/>
        <v>0</v>
      </c>
      <c r="H25" s="541">
        <f>D25*0.5</f>
        <v>0</v>
      </c>
      <c r="I25" s="544"/>
      <c r="J25" s="543" t="str">
        <f>'Wrksht. F, CWIP Desc. EKC'!F25</f>
        <v>T7 CRH ACOUSTIC EQUIPMENT</v>
      </c>
    </row>
    <row r="26" spans="1:10">
      <c r="A26" s="618">
        <f t="shared" si="1"/>
        <v>16</v>
      </c>
      <c r="B26" s="539" t="str">
        <f>'Wrksht. F, CWIP Desc. EKC'!B26</f>
        <v>1070002</v>
      </c>
      <c r="C26" s="540" t="str">
        <f>'Wrksht. F, CWIP Desc. EKC'!C26</f>
        <v>TEC0801887</v>
      </c>
      <c r="D26" s="541">
        <f>'Wrsht. G, CWIP AFUDC Cre. EKC '!I27</f>
        <v>0</v>
      </c>
      <c r="E26" s="542" t="str">
        <f>'Wrksht. F, CWIP Desc. EKC'!E26</f>
        <v>O</v>
      </c>
      <c r="F26" s="541"/>
      <c r="G26" s="541">
        <f t="shared" si="0"/>
        <v>0</v>
      </c>
      <c r="H26" s="541">
        <f>D26*0.5</f>
        <v>0</v>
      </c>
      <c r="I26" s="544"/>
      <c r="J26" s="543" t="str">
        <f>'Wrksht. F, CWIP Desc. EKC'!F26</f>
        <v>T7/9 TURBINE WATER INDUCTION PROTECTION</v>
      </c>
    </row>
    <row r="27" spans="1:10">
      <c r="A27" s="618">
        <f t="shared" si="1"/>
        <v>17</v>
      </c>
      <c r="B27" s="539" t="str">
        <f>'Wrksht. F, CWIP Desc. EKC'!B27</f>
        <v>1070002</v>
      </c>
      <c r="C27" s="540" t="str">
        <f>'Wrksht. F, CWIP Desc. EKC'!C27</f>
        <v>TEC0802112</v>
      </c>
      <c r="D27" s="541">
        <f>'Wrsht. G, CWIP AFUDC Cre. EKC '!I28</f>
        <v>0</v>
      </c>
      <c r="E27" s="542" t="str">
        <f>'Wrksht. F, CWIP Desc. EKC'!E27</f>
        <v>PC</v>
      </c>
      <c r="F27" s="541"/>
      <c r="G27" s="541">
        <f t="shared" si="0"/>
        <v>0</v>
      </c>
      <c r="H27" s="541">
        <v>0</v>
      </c>
      <c r="I27" s="544"/>
      <c r="J27" s="543" t="str">
        <f>'Wrksht. F, CWIP Desc. EKC'!F27</f>
        <v>TCOM CINDER PIT OVERFLOW</v>
      </c>
    </row>
    <row r="28" spans="1:10">
      <c r="A28" s="618">
        <f t="shared" si="1"/>
        <v>18</v>
      </c>
      <c r="B28" s="539" t="str">
        <f>'Wrksht. F, CWIP Desc. EKC'!B28</f>
        <v>1070002</v>
      </c>
      <c r="C28" s="540" t="str">
        <f>'Wrksht. F, CWIP Desc. EKC'!C28</f>
        <v>TEC0802277</v>
      </c>
      <c r="D28" s="541">
        <f>'Wrsht. G, CWIP AFUDC Cre. EKC '!I29</f>
        <v>0</v>
      </c>
      <c r="E28" s="542" t="str">
        <f>'Wrksht. F, CWIP Desc. EKC'!E28</f>
        <v>O</v>
      </c>
      <c r="F28" s="541"/>
      <c r="G28" s="541">
        <f t="shared" si="0"/>
        <v>0</v>
      </c>
      <c r="H28" s="541">
        <f>D28*0.5</f>
        <v>0</v>
      </c>
      <c r="I28" s="544"/>
      <c r="J28" s="543" t="str">
        <f>'Wrksht. F, CWIP Desc. EKC'!F28</f>
        <v>TCOM FIRE PROTECTION SYSTEM UPGRADE</v>
      </c>
    </row>
    <row r="29" spans="1:10">
      <c r="A29" s="618">
        <f t="shared" si="1"/>
        <v>19</v>
      </c>
      <c r="B29" s="539" t="str">
        <f>'Wrksht. F, CWIP Desc. EKC'!B29</f>
        <v>1070002</v>
      </c>
      <c r="C29" s="540" t="str">
        <f>'Wrksht. F, CWIP Desc. EKC'!C29</f>
        <v>TEC0802576</v>
      </c>
      <c r="D29" s="541">
        <f>'Wrsht. G, CWIP AFUDC Cre. EKC '!I30</f>
        <v>0</v>
      </c>
      <c r="E29" s="542" t="str">
        <f>'Wrksht. F, CWIP Desc. EKC'!E29</f>
        <v>PC</v>
      </c>
      <c r="F29" s="541"/>
      <c r="G29" s="541">
        <f t="shared" si="0"/>
        <v>0</v>
      </c>
      <c r="H29" s="541">
        <v>0</v>
      </c>
      <c r="I29" s="544"/>
      <c r="J29" s="543" t="str">
        <f>'Wrksht. F, CWIP Desc. EKC'!F29</f>
        <v>T7 LOW NOX AND SOFA UPGRADE</v>
      </c>
    </row>
    <row r="30" spans="1:10">
      <c r="A30" s="618">
        <f t="shared" si="1"/>
        <v>20</v>
      </c>
      <c r="B30" s="539" t="str">
        <f>'Wrksht. F, CWIP Desc. EKC'!B30</f>
        <v>1070002</v>
      </c>
      <c r="C30" s="540" t="str">
        <f>'Wrksht. F, CWIP Desc. EKC'!C30</f>
        <v>TEC0803513</v>
      </c>
      <c r="D30" s="541">
        <f>'Wrsht. G, CWIP AFUDC Cre. EKC '!I31</f>
        <v>0</v>
      </c>
      <c r="E30" s="542" t="str">
        <f>'Wrksht. F, CWIP Desc. EKC'!E30</f>
        <v>O</v>
      </c>
      <c r="F30" s="541"/>
      <c r="G30" s="541">
        <f t="shared" si="0"/>
        <v>0</v>
      </c>
      <c r="H30" s="541">
        <f>D30*0.5</f>
        <v>0</v>
      </c>
      <c r="I30" s="544"/>
      <c r="J30" s="543" t="str">
        <f>'Wrksht. F, CWIP Desc. EKC'!F30</f>
        <v>PURCHASE LAERDAL SUCTION UNIT FOR TEC MED ROOM</v>
      </c>
    </row>
    <row r="31" spans="1:10">
      <c r="A31" s="618">
        <f t="shared" si="1"/>
        <v>21</v>
      </c>
      <c r="B31" s="539" t="str">
        <f>'Wrksht. F, CWIP Desc. EKC'!B31</f>
        <v>1070002</v>
      </c>
      <c r="C31" s="540" t="str">
        <f>'Wrksht. F, CWIP Desc. EKC'!C31</f>
        <v>TEC0803710</v>
      </c>
      <c r="D31" s="541">
        <f>'Wrsht. G, CWIP AFUDC Cre. EKC '!I32</f>
        <v>0</v>
      </c>
      <c r="E31" s="542" t="str">
        <f>'Wrksht. F, CWIP Desc. EKC'!E31</f>
        <v>O</v>
      </c>
      <c r="F31" s="541"/>
      <c r="G31" s="541">
        <f t="shared" si="0"/>
        <v>0</v>
      </c>
      <c r="H31" s="541">
        <f>D31*0.5</f>
        <v>0</v>
      </c>
      <c r="I31" s="544"/>
      <c r="J31" s="543" t="str">
        <f>'Wrksht. F, CWIP Desc. EKC'!F31</f>
        <v>VALVELINK SOFTWARE FOR TEC</v>
      </c>
    </row>
    <row r="32" spans="1:10">
      <c r="A32" s="618">
        <f t="shared" si="1"/>
        <v>22</v>
      </c>
      <c r="B32" s="539" t="str">
        <f>'Wrksht. F, CWIP Desc. EKC'!B32</f>
        <v>1070002</v>
      </c>
      <c r="C32" s="540" t="str">
        <f>'Wrksht. F, CWIP Desc. EKC'!C32</f>
        <v>TEC0803936</v>
      </c>
      <c r="D32" s="541">
        <f>'Wrsht. G, CWIP AFUDC Cre. EKC '!I33</f>
        <v>0</v>
      </c>
      <c r="E32" s="542" t="str">
        <f>'Wrksht. F, CWIP Desc. EKC'!E32</f>
        <v>O</v>
      </c>
      <c r="F32" s="541"/>
      <c r="G32" s="541">
        <f t="shared" si="0"/>
        <v>0</v>
      </c>
      <c r="H32" s="541">
        <f>D32*0.5</f>
        <v>0</v>
      </c>
      <c r="I32" s="544"/>
      <c r="J32" s="543" t="str">
        <f>'Wrksht. F, CWIP Desc. EKC'!F32</f>
        <v>PURCHASE 1-1/2 INCH IMPACT WRENCH</v>
      </c>
    </row>
    <row r="33" spans="1:10">
      <c r="A33" s="618">
        <f t="shared" si="1"/>
        <v>23</v>
      </c>
      <c r="B33" s="539" t="str">
        <f>'Wrksht. F, CWIP Desc. EKC'!B33</f>
        <v>1070002</v>
      </c>
      <c r="C33" s="540" t="str">
        <f>'Wrksht. F, CWIP Desc. EKC'!C33</f>
        <v>TEC0804550</v>
      </c>
      <c r="D33" s="541">
        <f>'Wrsht. G, CWIP AFUDC Cre. EKC '!I34</f>
        <v>0</v>
      </c>
      <c r="E33" s="542" t="str">
        <f>'Wrksht. F, CWIP Desc. EKC'!E33</f>
        <v>O</v>
      </c>
      <c r="F33" s="541"/>
      <c r="G33" s="541">
        <f t="shared" si="0"/>
        <v>0</v>
      </c>
      <c r="H33" s="541">
        <f>D33*0.5</f>
        <v>0</v>
      </c>
      <c r="I33" s="544"/>
      <c r="J33" s="543" t="str">
        <f>'Wrksht. F, CWIP Desc. EKC'!F33</f>
        <v>TCOM LANDFILL CONTINUING CONST</v>
      </c>
    </row>
    <row r="34" spans="1:10">
      <c r="A34" s="618">
        <f t="shared" si="1"/>
        <v>24</v>
      </c>
      <c r="B34" s="539" t="str">
        <f>'Wrksht. F, CWIP Desc. EKC'!B34</f>
        <v>1070002</v>
      </c>
      <c r="C34" s="540" t="str">
        <f>'Wrksht. F, CWIP Desc. EKC'!C34</f>
        <v>TEC0804719</v>
      </c>
      <c r="D34" s="541">
        <f>'Wrsht. G, CWIP AFUDC Cre. EKC '!I35</f>
        <v>0</v>
      </c>
      <c r="E34" s="542" t="str">
        <f>'Wrksht. F, CWIP Desc. EKC'!E34</f>
        <v>O</v>
      </c>
      <c r="F34" s="541"/>
      <c r="G34" s="541">
        <f t="shared" si="0"/>
        <v>0</v>
      </c>
      <c r="H34" s="541">
        <f>D34*0.5</f>
        <v>0</v>
      </c>
      <c r="I34" s="544"/>
      <c r="J34" s="543" t="str">
        <f>'Wrksht. F, CWIP Desc. EKC'!F34</f>
        <v>HILTI GRATING GUN PURCHASE FOR GRATING FASTENERS</v>
      </c>
    </row>
    <row r="35" spans="1:10">
      <c r="A35" s="618">
        <f>A34+1</f>
        <v>25</v>
      </c>
      <c r="B35" s="539" t="str">
        <f>'Wrksht. F, CWIP Desc. EKC'!B35</f>
        <v>1070002</v>
      </c>
      <c r="C35" s="540" t="str">
        <f>'Wrksht. F, CWIP Desc. EKC'!C35</f>
        <v>LEC0801112</v>
      </c>
      <c r="D35" s="541">
        <f>'Wrsht. G, CWIP AFUDC Cre. EKC '!I36</f>
        <v>0</v>
      </c>
      <c r="E35" s="542" t="str">
        <f>'Wrksht. F, CWIP Desc. EKC'!E35</f>
        <v>PC</v>
      </c>
      <c r="F35" s="541"/>
      <c r="G35" s="541">
        <f t="shared" si="0"/>
        <v>0</v>
      </c>
      <c r="H35" s="541">
        <v>0</v>
      </c>
      <c r="I35" s="544"/>
      <c r="J35" s="543" t="str">
        <f>'Wrksht. F, CWIP Desc. EKC'!F35</f>
        <v>LEC-ASH HANDLING/LANDFILL UPGRD</v>
      </c>
    </row>
    <row r="36" spans="1:10">
      <c r="A36" s="618">
        <f t="shared" si="1"/>
        <v>26</v>
      </c>
      <c r="B36" s="539" t="str">
        <f>'Wrksht. F, CWIP Desc. EKC'!B36</f>
        <v>1070002</v>
      </c>
      <c r="C36" s="540" t="str">
        <f>'Wrksht. F, CWIP Desc. EKC'!C36</f>
        <v>A30062</v>
      </c>
      <c r="D36" s="541">
        <f>'Wrsht. G, CWIP AFUDC Cre. EKC '!I37</f>
        <v>0</v>
      </c>
      <c r="E36" s="542" t="str">
        <f>'Wrksht. F, CWIP Desc. EKC'!E36</f>
        <v>PC</v>
      </c>
      <c r="F36" s="541"/>
      <c r="G36" s="541">
        <f t="shared" si="0"/>
        <v>0</v>
      </c>
      <c r="H36" s="541">
        <v>0</v>
      </c>
      <c r="I36" s="544"/>
      <c r="J36" s="543" t="str">
        <f>'Wrksht. F, CWIP Desc. EKC'!F36</f>
        <v>ENVIRONMENTAL INSTRUMENTATION</v>
      </c>
    </row>
    <row r="37" spans="1:10">
      <c r="A37" s="618">
        <f t="shared" si="1"/>
        <v>27</v>
      </c>
      <c r="B37" s="539" t="str">
        <f>'Wrksht. F, CWIP Desc. EKC'!B37</f>
        <v>1070002</v>
      </c>
      <c r="C37" s="540" t="str">
        <f>'Wrksht. F, CWIP Desc. EKC'!C37</f>
        <v>LEC0504104</v>
      </c>
      <c r="D37" s="541">
        <f>'Wrsht. G, CWIP AFUDC Cre. EKC '!I38</f>
        <v>0</v>
      </c>
      <c r="E37" s="542" t="str">
        <f>'Wrksht. F, CWIP Desc. EKC'!E37</f>
        <v>O</v>
      </c>
      <c r="F37" s="541"/>
      <c r="G37" s="541">
        <f t="shared" si="0"/>
        <v>0</v>
      </c>
      <c r="H37" s="541">
        <f>D37*0.5</f>
        <v>0</v>
      </c>
      <c r="I37" s="544"/>
      <c r="J37" s="543" t="str">
        <f>'Wrksht. F, CWIP Desc. EKC'!F37</f>
        <v>L3 SUPER HEATER REPLACEMENT</v>
      </c>
    </row>
    <row r="38" spans="1:10">
      <c r="A38" s="618">
        <f t="shared" si="1"/>
        <v>28</v>
      </c>
      <c r="B38" s="539" t="str">
        <f>'Wrksht. F, CWIP Desc. EKC'!B38</f>
        <v>1070002</v>
      </c>
      <c r="C38" s="540" t="str">
        <f>'Wrksht. F, CWIP Desc. EKC'!C38</f>
        <v>LEC0601996</v>
      </c>
      <c r="D38" s="541">
        <f>'Wrsht. G, CWIP AFUDC Cre. EKC '!I39</f>
        <v>0</v>
      </c>
      <c r="E38" s="542" t="str">
        <f>'Wrksht. F, CWIP Desc. EKC'!E38</f>
        <v>O</v>
      </c>
      <c r="F38" s="541"/>
      <c r="G38" s="541">
        <f t="shared" si="0"/>
        <v>0</v>
      </c>
      <c r="H38" s="541">
        <f>D38*0.5</f>
        <v>0</v>
      </c>
      <c r="I38" s="544"/>
      <c r="J38" s="543" t="str">
        <f>'Wrksht. F, CWIP Desc. EKC'!F38</f>
        <v>L3 TURBINE WATER INDUCTION PROTECTION SYSTEM</v>
      </c>
    </row>
    <row r="39" spans="1:10">
      <c r="A39" s="618">
        <f t="shared" si="1"/>
        <v>29</v>
      </c>
      <c r="B39" s="539" t="str">
        <f>'Wrksht. F, CWIP Desc. EKC'!B39</f>
        <v>1070002</v>
      </c>
      <c r="C39" s="540" t="str">
        <f>'Wrksht. F, CWIP Desc. EKC'!C39</f>
        <v>LEC0704585</v>
      </c>
      <c r="D39" s="541">
        <f>'Wrsht. G, CWIP AFUDC Cre. EKC '!I40</f>
        <v>0</v>
      </c>
      <c r="E39" s="542" t="str">
        <f>'Wrksht. F, CWIP Desc. EKC'!E39</f>
        <v>O</v>
      </c>
      <c r="F39" s="541"/>
      <c r="G39" s="541">
        <f t="shared" si="0"/>
        <v>0</v>
      </c>
      <c r="H39" s="541">
        <f>D39*0.5</f>
        <v>0</v>
      </c>
      <c r="I39" s="544"/>
      <c r="J39" s="543" t="str">
        <f>'Wrksht. F, CWIP Desc. EKC'!F39</f>
        <v>LCOM BOILER CHEMISTRY MONITORING</v>
      </c>
    </row>
    <row r="40" spans="1:10">
      <c r="A40" s="619">
        <f t="shared" si="1"/>
        <v>30</v>
      </c>
      <c r="B40" s="539" t="str">
        <f>'Wrksht. F, CWIP Desc. EKC'!B40</f>
        <v>1070002</v>
      </c>
      <c r="C40" s="540" t="str">
        <f>'Wrksht. F, CWIP Desc. EKC'!C40</f>
        <v>LEC0710069</v>
      </c>
      <c r="D40" s="541">
        <f>'Wrsht. G, CWIP AFUDC Cre. EKC '!I41</f>
        <v>0</v>
      </c>
      <c r="E40" s="542" t="str">
        <f>'Wrksht. F, CWIP Desc. EKC'!E40</f>
        <v>PC</v>
      </c>
      <c r="F40" s="541"/>
      <c r="G40" s="541">
        <f t="shared" si="0"/>
        <v>0</v>
      </c>
      <c r="H40" s="541">
        <v>0</v>
      </c>
      <c r="I40" s="544"/>
      <c r="J40" s="543" t="str">
        <f>'Wrksht. F, CWIP Desc. EKC'!F40</f>
        <v>L4 SCRUBBER UPGRADES</v>
      </c>
    </row>
    <row r="41" spans="1:10">
      <c r="A41" s="618">
        <f t="shared" si="1"/>
        <v>31</v>
      </c>
      <c r="B41" s="539" t="str">
        <f>'Wrksht. F, CWIP Desc. EKC'!B41</f>
        <v>1070002</v>
      </c>
      <c r="C41" s="540" t="str">
        <f>'Wrksht. F, CWIP Desc. EKC'!C41</f>
        <v>LEC0710070</v>
      </c>
      <c r="D41" s="541">
        <f>'Wrsht. G, CWIP AFUDC Cre. EKC '!I42</f>
        <v>0</v>
      </c>
      <c r="E41" s="542" t="str">
        <f>'Wrksht. F, CWIP Desc. EKC'!E41</f>
        <v>PC</v>
      </c>
      <c r="F41" s="541"/>
      <c r="G41" s="541">
        <f t="shared" si="0"/>
        <v>0</v>
      </c>
      <c r="H41" s="541">
        <v>0</v>
      </c>
      <c r="I41" s="544"/>
      <c r="J41" s="543" t="str">
        <f>'Wrksht. F, CWIP Desc. EKC'!F41</f>
        <v>L4 SCRUBBER UPGRADES</v>
      </c>
    </row>
    <row r="42" spans="1:10">
      <c r="A42" s="618">
        <f t="shared" si="1"/>
        <v>32</v>
      </c>
      <c r="B42" s="539" t="str">
        <f>'Wrksht. F, CWIP Desc. EKC'!B42</f>
        <v>1070002</v>
      </c>
      <c r="C42" s="540" t="str">
        <f>'Wrksht. F, CWIP Desc. EKC'!C42</f>
        <v>LEC0800820</v>
      </c>
      <c r="D42" s="541">
        <f>'Wrsht. G, CWIP AFUDC Cre. EKC '!I43</f>
        <v>0</v>
      </c>
      <c r="E42" s="542" t="str">
        <f>'Wrksht. F, CWIP Desc. EKC'!E42</f>
        <v>O</v>
      </c>
      <c r="F42" s="541"/>
      <c r="G42" s="541">
        <f t="shared" si="0"/>
        <v>0</v>
      </c>
      <c r="H42" s="541">
        <f>D42*0.5</f>
        <v>0</v>
      </c>
      <c r="I42" s="544"/>
      <c r="J42" s="543" t="str">
        <f>'Wrksht. F, CWIP Desc. EKC'!F42</f>
        <v>L5 REPLACE COOLING TOWER</v>
      </c>
    </row>
    <row r="43" spans="1:10">
      <c r="A43" s="618">
        <f t="shared" si="1"/>
        <v>33</v>
      </c>
      <c r="B43" s="539" t="str">
        <f>'Wrksht. F, CWIP Desc. EKC'!B43</f>
        <v>1070002</v>
      </c>
      <c r="C43" s="540" t="str">
        <f>'Wrksht. F, CWIP Desc. EKC'!C43</f>
        <v>LEC0801068</v>
      </c>
      <c r="D43" s="541">
        <f>'Wrsht. G, CWIP AFUDC Cre. EKC '!I44</f>
        <v>0</v>
      </c>
      <c r="E43" s="542" t="str">
        <f>'Wrksht. F, CWIP Desc. EKC'!E43</f>
        <v>O</v>
      </c>
      <c r="F43" s="541"/>
      <c r="G43" s="541">
        <f t="shared" ref="G43:G84" si="3">IF(H43=0,D43,0)</f>
        <v>0</v>
      </c>
      <c r="H43" s="541">
        <f>D43*0.5</f>
        <v>0</v>
      </c>
      <c r="I43" s="544"/>
      <c r="J43" s="543" t="str">
        <f>'Wrksht. F, CWIP Desc. EKC'!F43</f>
        <v>L3 GENERATOR OVERHAUL</v>
      </c>
    </row>
    <row r="44" spans="1:10">
      <c r="A44" s="618">
        <f t="shared" si="1"/>
        <v>34</v>
      </c>
      <c r="B44" s="539" t="str">
        <f>'Wrksht. F, CWIP Desc. EKC'!B44</f>
        <v>1070002</v>
      </c>
      <c r="C44" s="540" t="str">
        <f>'Wrksht. F, CWIP Desc. EKC'!C44</f>
        <v>LEC0802635</v>
      </c>
      <c r="D44" s="541">
        <f>'Wrsht. G, CWIP AFUDC Cre. EKC '!I45</f>
        <v>0</v>
      </c>
      <c r="E44" s="542" t="str">
        <f>'Wrksht. F, CWIP Desc. EKC'!E44</f>
        <v>O</v>
      </c>
      <c r="F44" s="541"/>
      <c r="G44" s="541">
        <f t="shared" si="3"/>
        <v>0</v>
      </c>
      <c r="H44" s="541">
        <f>D44*0.5</f>
        <v>0</v>
      </c>
      <c r="I44" s="544"/>
      <c r="J44" s="543" t="str">
        <f>'Wrksht. F, CWIP Desc. EKC'!F44</f>
        <v>L5 LOWER SLOPE REPLACEMENT</v>
      </c>
    </row>
    <row r="45" spans="1:10">
      <c r="A45" s="619">
        <f t="shared" si="1"/>
        <v>35</v>
      </c>
      <c r="B45" s="539" t="str">
        <f>'Wrksht. F, CWIP Desc. EKC'!B45</f>
        <v>1070002</v>
      </c>
      <c r="C45" s="540" t="str">
        <f>'Wrksht. F, CWIP Desc. EKC'!C45</f>
        <v>LEC0802645</v>
      </c>
      <c r="D45" s="541">
        <f>'Wrsht. G, CWIP AFUDC Cre. EKC '!I46</f>
        <v>0</v>
      </c>
      <c r="E45" s="542" t="str">
        <f>'Wrksht. F, CWIP Desc. EKC'!E45</f>
        <v>O</v>
      </c>
      <c r="F45" s="541"/>
      <c r="G45" s="541">
        <f t="shared" si="3"/>
        <v>0</v>
      </c>
      <c r="H45" s="541">
        <f t="shared" ref="H45:H50" si="4">D45*0.5</f>
        <v>0</v>
      </c>
      <c r="I45" s="544"/>
      <c r="J45" s="543" t="str">
        <f>'Wrksht. F, CWIP Desc. EKC'!F45</f>
        <v>L4 LTSH REPLACEMENT</v>
      </c>
    </row>
    <row r="46" spans="1:10">
      <c r="A46" s="618">
        <f t="shared" si="1"/>
        <v>36</v>
      </c>
      <c r="B46" s="539" t="str">
        <f>'Wrksht. F, CWIP Desc. EKC'!B46</f>
        <v>1070002</v>
      </c>
      <c r="C46" s="540" t="str">
        <f>'Wrksht. F, CWIP Desc. EKC'!C46</f>
        <v>LEC0803059</v>
      </c>
      <c r="D46" s="541">
        <f>'Wrsht. G, CWIP AFUDC Cre. EKC '!I47</f>
        <v>0</v>
      </c>
      <c r="E46" s="542" t="str">
        <f>'Wrksht. F, CWIP Desc. EKC'!E46</f>
        <v>O</v>
      </c>
      <c r="F46" s="541"/>
      <c r="G46" s="541">
        <f t="shared" si="3"/>
        <v>0</v>
      </c>
      <c r="H46" s="541">
        <f t="shared" si="4"/>
        <v>0</v>
      </c>
      <c r="I46" s="544"/>
      <c r="J46" s="543" t="str">
        <f>'Wrksht. F, CWIP Desc. EKC'!F46</f>
        <v>INSTALLATION OF A CONTAINMENT SYSTEM</v>
      </c>
    </row>
    <row r="47" spans="1:10">
      <c r="A47" s="618">
        <f t="shared" si="1"/>
        <v>37</v>
      </c>
      <c r="B47" s="539" t="str">
        <f>'Wrksht. F, CWIP Desc. EKC'!B47</f>
        <v>1070002</v>
      </c>
      <c r="C47" s="540" t="str">
        <f>'Wrksht. F, CWIP Desc. EKC'!C47</f>
        <v>LEC0803658</v>
      </c>
      <c r="D47" s="541">
        <f>'Wrsht. G, CWIP AFUDC Cre. EKC '!I48</f>
        <v>0</v>
      </c>
      <c r="E47" s="542" t="str">
        <f>'Wrksht. F, CWIP Desc. EKC'!E47</f>
        <v>O</v>
      </c>
      <c r="F47" s="541"/>
      <c r="G47" s="541">
        <f t="shared" si="3"/>
        <v>0</v>
      </c>
      <c r="H47" s="541">
        <f t="shared" si="4"/>
        <v>0</v>
      </c>
      <c r="I47" s="544"/>
      <c r="J47" s="543" t="str">
        <f>'Wrksht. F, CWIP Desc. EKC'!F47</f>
        <v>2008 MISC SAFETY PROJECT</v>
      </c>
    </row>
    <row r="48" spans="1:10">
      <c r="A48" s="618">
        <f t="shared" si="1"/>
        <v>38</v>
      </c>
      <c r="B48" s="539" t="str">
        <f>'Wrksht. F, CWIP Desc. EKC'!B48</f>
        <v>1070002</v>
      </c>
      <c r="C48" s="540" t="str">
        <f>'Wrksht. F, CWIP Desc. EKC'!C48</f>
        <v>LEC0804393</v>
      </c>
      <c r="D48" s="541">
        <f>'Wrsht. G, CWIP AFUDC Cre. EKC '!I49</f>
        <v>0</v>
      </c>
      <c r="E48" s="542" t="str">
        <f>'Wrksht. F, CWIP Desc. EKC'!E48</f>
        <v>O</v>
      </c>
      <c r="F48" s="541"/>
      <c r="G48" s="541">
        <f t="shared" si="3"/>
        <v>0</v>
      </c>
      <c r="H48" s="541">
        <f t="shared" si="4"/>
        <v>0</v>
      </c>
      <c r="I48" s="544"/>
      <c r="J48" s="543" t="str">
        <f>'Wrksht. F, CWIP Desc. EKC'!F48</f>
        <v>L3 CIRC WATER LINE REPL</v>
      </c>
    </row>
    <row r="49" spans="1:10">
      <c r="A49" s="618">
        <f t="shared" si="1"/>
        <v>39</v>
      </c>
      <c r="B49" s="539" t="str">
        <f>'Wrksht. F, CWIP Desc. EKC'!B49</f>
        <v>1070002</v>
      </c>
      <c r="C49" s="540" t="str">
        <f>'Wrksht. F, CWIP Desc. EKC'!C49</f>
        <v>LEC0804804</v>
      </c>
      <c r="D49" s="541">
        <f>'Wrsht. G, CWIP AFUDC Cre. EKC '!I50</f>
        <v>0</v>
      </c>
      <c r="E49" s="542" t="str">
        <f>'Wrksht. F, CWIP Desc. EKC'!E49</f>
        <v>O</v>
      </c>
      <c r="F49" s="541"/>
      <c r="G49" s="541">
        <f t="shared" si="3"/>
        <v>0</v>
      </c>
      <c r="H49" s="541">
        <f t="shared" si="4"/>
        <v>0</v>
      </c>
      <c r="I49" s="544"/>
      <c r="J49" s="543" t="str">
        <f>'Wrksht. F, CWIP Desc. EKC'!F49</f>
        <v>L3 TURBINE VIBRATION AND EXPANSION</v>
      </c>
    </row>
    <row r="50" spans="1:10">
      <c r="A50" s="618">
        <f t="shared" si="1"/>
        <v>40</v>
      </c>
      <c r="B50" s="539" t="str">
        <f>'Wrksht. F, CWIP Desc. EKC'!B50</f>
        <v>1070002</v>
      </c>
      <c r="C50" s="540" t="str">
        <f>'Wrksht. F, CWIP Desc. EKC'!C50</f>
        <v>LEC0805848</v>
      </c>
      <c r="D50" s="541">
        <f>'Wrsht. G, CWIP AFUDC Cre. EKC '!I51</f>
        <v>0</v>
      </c>
      <c r="E50" s="542" t="str">
        <f>'Wrksht. F, CWIP Desc. EKC'!E50</f>
        <v>O</v>
      </c>
      <c r="F50" s="541"/>
      <c r="G50" s="541">
        <f t="shared" si="3"/>
        <v>0</v>
      </c>
      <c r="H50" s="541">
        <f t="shared" si="4"/>
        <v>0</v>
      </c>
      <c r="I50" s="544"/>
      <c r="J50" s="543" t="str">
        <f>'Wrksht. F, CWIP Desc. EKC'!F50</f>
        <v>L5 CONDENSER WATER BOX UPGRADES</v>
      </c>
    </row>
    <row r="51" spans="1:10" ht="20.399999999999999">
      <c r="A51" s="1740" t="str">
        <f>A1</f>
        <v>WORKSHEET A (EKC), CWIP ACCOUNT 107</v>
      </c>
      <c r="B51" s="1740"/>
      <c r="C51" s="1741"/>
      <c r="D51" s="1741"/>
      <c r="E51" s="1741"/>
      <c r="F51" s="1741"/>
      <c r="G51" s="1741"/>
      <c r="H51" s="1741"/>
      <c r="I51" s="1741"/>
      <c r="J51" s="1741"/>
    </row>
    <row r="52" spans="1:10" ht="19.2">
      <c r="A52" s="1742" t="str">
        <f>A2</f>
        <v>For Contract Year Beginning June 1, 2024, Based on 2023 Data</v>
      </c>
      <c r="B52" s="1742"/>
      <c r="C52" s="1743"/>
      <c r="D52" s="1743"/>
      <c r="E52" s="1743"/>
      <c r="F52" s="1743"/>
      <c r="G52" s="1743"/>
      <c r="H52" s="1743"/>
      <c r="I52" s="1743"/>
      <c r="J52" s="1743"/>
    </row>
    <row r="53" spans="1:10" ht="13.8">
      <c r="H53" s="507"/>
    </row>
    <row r="54" spans="1:10" ht="15.6">
      <c r="C54" s="507"/>
      <c r="D54" s="488" t="s">
        <v>480</v>
      </c>
      <c r="E54" s="488" t="s">
        <v>481</v>
      </c>
      <c r="F54" s="488" t="s">
        <v>482</v>
      </c>
      <c r="G54" s="488" t="s">
        <v>483</v>
      </c>
      <c r="H54" s="488" t="s">
        <v>484</v>
      </c>
      <c r="I54" s="488" t="s">
        <v>884</v>
      </c>
      <c r="J54" s="488" t="s">
        <v>485</v>
      </c>
    </row>
    <row r="55" spans="1:10" ht="15.6">
      <c r="D55" s="489" t="s">
        <v>1545</v>
      </c>
      <c r="E55" s="490" t="s">
        <v>1578</v>
      </c>
      <c r="F55" s="491"/>
      <c r="G55" s="490">
        <v>1</v>
      </c>
      <c r="H55" s="490">
        <v>0.5</v>
      </c>
      <c r="I55" s="488" t="s">
        <v>468</v>
      </c>
      <c r="J55" s="489" t="s">
        <v>476</v>
      </c>
    </row>
    <row r="56" spans="1:10" ht="15.6">
      <c r="D56" s="489" t="s">
        <v>1568</v>
      </c>
      <c r="E56" s="488" t="s">
        <v>1583</v>
      </c>
      <c r="F56" s="488"/>
      <c r="G56" s="488" t="s">
        <v>116</v>
      </c>
      <c r="H56" s="488" t="s">
        <v>116</v>
      </c>
      <c r="I56" s="488" t="s">
        <v>1079</v>
      </c>
      <c r="J56" s="489" t="s">
        <v>15</v>
      </c>
    </row>
    <row r="57" spans="1:10" ht="15.6">
      <c r="D57" s="489" t="s">
        <v>1569</v>
      </c>
      <c r="E57" s="492" t="s">
        <v>220</v>
      </c>
      <c r="F57" s="488"/>
      <c r="G57" s="488" t="s">
        <v>1584</v>
      </c>
      <c r="H57" s="488" t="s">
        <v>1585</v>
      </c>
      <c r="I57" s="488" t="s">
        <v>299</v>
      </c>
      <c r="J57" s="489"/>
    </row>
    <row r="58" spans="1:10" ht="15.6">
      <c r="D58" s="493" t="s">
        <v>1948</v>
      </c>
      <c r="E58" s="492"/>
      <c r="F58" s="494"/>
      <c r="G58" s="495"/>
      <c r="H58" s="495"/>
      <c r="I58" s="495"/>
      <c r="J58" s="495"/>
    </row>
    <row r="59" spans="1:10">
      <c r="D59" s="504"/>
      <c r="E59" s="497"/>
      <c r="F59" s="498"/>
    </row>
    <row r="60" spans="1:10" ht="13.8">
      <c r="A60" s="499" t="s">
        <v>531</v>
      </c>
      <c r="B60" s="500" t="s">
        <v>1078</v>
      </c>
      <c r="C60" s="501" t="s">
        <v>1077</v>
      </c>
      <c r="D60" s="502"/>
      <c r="E60" s="503"/>
      <c r="F60" s="503"/>
      <c r="G60" s="503"/>
      <c r="H60" s="503"/>
      <c r="I60" s="503"/>
      <c r="J60" s="502"/>
    </row>
    <row r="61" spans="1:10">
      <c r="A61" s="618">
        <f>A50+1</f>
        <v>41</v>
      </c>
      <c r="B61" s="539" t="str">
        <f>'Wrksht. F, CWIP Desc. EKC'!B51</f>
        <v>1070002</v>
      </c>
      <c r="C61" s="540" t="str">
        <f>'Wrksht. F, CWIP Desc. EKC'!C51</f>
        <v>LEC0807184</v>
      </c>
      <c r="D61" s="541">
        <f>'Wrsht. G, CWIP AFUDC Cre. EKC '!I52</f>
        <v>0</v>
      </c>
      <c r="E61" s="542" t="str">
        <f>'Wrksht. F, CWIP Desc. EKC'!E51</f>
        <v>PC</v>
      </c>
      <c r="F61" s="541"/>
      <c r="G61" s="541">
        <f t="shared" si="3"/>
        <v>0</v>
      </c>
      <c r="H61" s="541">
        <v>0</v>
      </c>
      <c r="I61" s="544"/>
      <c r="J61" s="543" t="str">
        <f>'Wrksht. F, CWIP Desc. EKC'!F51</f>
        <v>SCRUBBER UPGRADES</v>
      </c>
    </row>
    <row r="62" spans="1:10">
      <c r="A62" s="618">
        <f t="shared" si="1"/>
        <v>42</v>
      </c>
      <c r="B62" s="539" t="str">
        <f>'Wrksht. F, CWIP Desc. EKC'!B52</f>
        <v>1070002</v>
      </c>
      <c r="C62" s="540" t="str">
        <f>'Wrksht. F, CWIP Desc. EKC'!C52</f>
        <v>LEC0807190</v>
      </c>
      <c r="D62" s="541">
        <f>'Wrsht. G, CWIP AFUDC Cre. EKC '!I53</f>
        <v>0</v>
      </c>
      <c r="E62" s="542" t="str">
        <f>'Wrksht. F, CWIP Desc. EKC'!E52</f>
        <v>PC</v>
      </c>
      <c r="F62" s="541"/>
      <c r="G62" s="541">
        <f t="shared" si="3"/>
        <v>0</v>
      </c>
      <c r="H62" s="541">
        <v>0</v>
      </c>
      <c r="I62" s="544"/>
      <c r="J62" s="543" t="str">
        <f>'Wrksht. F, CWIP Desc. EKC'!F52</f>
        <v>L4 SCRUBBER UPGRADES</v>
      </c>
    </row>
    <row r="63" spans="1:10">
      <c r="A63" s="618">
        <f t="shared" si="1"/>
        <v>43</v>
      </c>
      <c r="B63" s="539" t="str">
        <f>'Wrksht. F, CWIP Desc. EKC'!B53</f>
        <v>1070002</v>
      </c>
      <c r="C63" s="540" t="str">
        <f>'Wrksht. F, CWIP Desc. EKC'!C53</f>
        <v>LEC0807191</v>
      </c>
      <c r="D63" s="541">
        <f>'Wrsht. G, CWIP AFUDC Cre. EKC '!I54</f>
        <v>0</v>
      </c>
      <c r="E63" s="542" t="str">
        <f>'Wrksht. F, CWIP Desc. EKC'!E53</f>
        <v>PC</v>
      </c>
      <c r="F63" s="541"/>
      <c r="G63" s="541">
        <f t="shared" si="3"/>
        <v>0</v>
      </c>
      <c r="H63" s="541">
        <v>0</v>
      </c>
      <c r="I63" s="544"/>
      <c r="J63" s="543" t="str">
        <f>'Wrksht. F, CWIP Desc. EKC'!F53</f>
        <v>L4 SCRUBBER UPGRADES</v>
      </c>
    </row>
    <row r="64" spans="1:10">
      <c r="A64" s="618">
        <f t="shared" si="1"/>
        <v>44</v>
      </c>
      <c r="B64" s="539" t="str">
        <f>'Wrksht. F, CWIP Desc. EKC'!B54</f>
        <v>1070002</v>
      </c>
      <c r="C64" s="540" t="str">
        <f>'Wrksht. F, CWIP Desc. EKC'!C54</f>
        <v>A30002</v>
      </c>
      <c r="D64" s="541">
        <f>'Wrsht. G, CWIP AFUDC Cre. EKC '!I55</f>
        <v>0</v>
      </c>
      <c r="E64" s="542" t="str">
        <f>'Wrksht. F, CWIP Desc. EKC'!E54</f>
        <v>PC</v>
      </c>
      <c r="F64" s="541"/>
      <c r="G64" s="541">
        <f t="shared" si="3"/>
        <v>0</v>
      </c>
      <c r="H64" s="541">
        <v>0</v>
      </c>
      <c r="I64" s="544"/>
      <c r="J64" s="543" t="str">
        <f>'Wrksht. F, CWIP Desc. EKC'!F54</f>
        <v>ENVIRONMENTAL INSTRUMENTATION</v>
      </c>
    </row>
    <row r="65" spans="1:10">
      <c r="A65" s="618">
        <f t="shared" si="1"/>
        <v>45</v>
      </c>
      <c r="B65" s="539" t="str">
        <f>'Wrksht. F, CWIP Desc. EKC'!B55</f>
        <v>1070002</v>
      </c>
      <c r="C65" s="540" t="str">
        <f>'Wrksht. F, CWIP Desc. EKC'!C55</f>
        <v>EEC0800295</v>
      </c>
      <c r="D65" s="541">
        <f>'Wrsht. G, CWIP AFUDC Cre. EKC '!I56</f>
        <v>0</v>
      </c>
      <c r="E65" s="542" t="str">
        <f>'Wrksht. F, CWIP Desc. EKC'!E55</f>
        <v>O</v>
      </c>
      <c r="F65" s="541"/>
      <c r="G65" s="541">
        <f t="shared" si="3"/>
        <v>0</v>
      </c>
      <c r="H65" s="541">
        <f>D65*0.5</f>
        <v>0</v>
      </c>
      <c r="I65" s="544"/>
      <c r="J65" s="543" t="str">
        <f>'Wrksht. F, CWIP Desc. EKC'!F55</f>
        <v>HEC SOUTH PLANT MISC TOOLS AND SMALL PROJECT</v>
      </c>
    </row>
    <row r="66" spans="1:10">
      <c r="A66" s="618">
        <f t="shared" si="1"/>
        <v>46</v>
      </c>
      <c r="B66" s="539" t="str">
        <f>'Wrksht. F, CWIP Desc. EKC'!B56</f>
        <v>1070002</v>
      </c>
      <c r="C66" s="540" t="str">
        <f>'Wrksht. F, CWIP Desc. EKC'!C56</f>
        <v>EEC0800678</v>
      </c>
      <c r="D66" s="541">
        <f>'Wrsht. G, CWIP AFUDC Cre. EKC '!I57</f>
        <v>0</v>
      </c>
      <c r="E66" s="542" t="str">
        <f>'Wrksht. F, CWIP Desc. EKC'!E56</f>
        <v>PC</v>
      </c>
      <c r="F66" s="541"/>
      <c r="G66" s="541">
        <f t="shared" si="3"/>
        <v>0</v>
      </c>
      <c r="H66" s="541">
        <v>0</v>
      </c>
      <c r="I66" s="544"/>
      <c r="J66" s="543" t="str">
        <f>'Wrksht. F, CWIP Desc. EKC'!F56</f>
        <v>H4 CEM REPLACEMENT PROJECT</v>
      </c>
    </row>
    <row r="67" spans="1:10">
      <c r="A67" s="618">
        <f t="shared" si="1"/>
        <v>47</v>
      </c>
      <c r="B67" s="539" t="str">
        <f>'Wrksht. F, CWIP Desc. EKC'!B57</f>
        <v>1070002</v>
      </c>
      <c r="C67" s="540" t="str">
        <f>'Wrksht. F, CWIP Desc. EKC'!C57</f>
        <v>EEC0804574</v>
      </c>
      <c r="D67" s="541">
        <f>'Wrsht. G, CWIP AFUDC Cre. EKC '!I58</f>
        <v>0</v>
      </c>
      <c r="E67" s="542" t="str">
        <f>'Wrksht. F, CWIP Desc. EKC'!E57</f>
        <v>O</v>
      </c>
      <c r="F67" s="541"/>
      <c r="G67" s="541">
        <f t="shared" si="3"/>
        <v>0</v>
      </c>
      <c r="H67" s="541">
        <f>D67*0.5</f>
        <v>0</v>
      </c>
      <c r="I67" s="544"/>
      <c r="J67" s="543" t="str">
        <f>'Wrksht. F, CWIP Desc. EKC'!F57</f>
        <v>HCOM GUARDRAIL AND GUARDING COMPLIANCE</v>
      </c>
    </row>
    <row r="68" spans="1:10">
      <c r="A68" s="618">
        <f>A67+1</f>
        <v>48</v>
      </c>
      <c r="B68" s="539" t="str">
        <f>'Wrksht. F, CWIP Desc. EKC'!B58</f>
        <v>1070002</v>
      </c>
      <c r="C68" s="540" t="str">
        <f>'Wrksht. F, CWIP Desc. EKC'!C58</f>
        <v>JEC0605973</v>
      </c>
      <c r="D68" s="541">
        <f>'Wrsht. G, CWIP AFUDC Cre. EKC '!I59</f>
        <v>0</v>
      </c>
      <c r="E68" s="542" t="str">
        <f>'Wrksht. F, CWIP Desc. EKC'!E58</f>
        <v>PC</v>
      </c>
      <c r="F68" s="541"/>
      <c r="G68" s="541">
        <f t="shared" si="3"/>
        <v>0</v>
      </c>
      <c r="H68" s="541">
        <v>0</v>
      </c>
      <c r="I68" s="544"/>
      <c r="J68" s="545" t="str">
        <f>'Wrksht. F, CWIP Desc. EKC'!F58</f>
        <v>JEC SCRUBBERS</v>
      </c>
    </row>
    <row r="69" spans="1:10">
      <c r="A69" s="618">
        <f t="shared" si="1"/>
        <v>49</v>
      </c>
      <c r="B69" s="539" t="str">
        <f>'Wrksht. F, CWIP Desc. EKC'!B59</f>
        <v>1070002</v>
      </c>
      <c r="C69" s="540" t="str">
        <f>'Wrksht. F, CWIP Desc. EKC'!C59</f>
        <v>JEC0605975</v>
      </c>
      <c r="D69" s="541">
        <f>'Wrsht. G, CWIP AFUDC Cre. EKC '!I60</f>
        <v>0</v>
      </c>
      <c r="E69" s="542" t="str">
        <f>'Wrksht. F, CWIP Desc. EKC'!E59</f>
        <v>PC</v>
      </c>
      <c r="F69" s="541"/>
      <c r="G69" s="541">
        <f t="shared" si="3"/>
        <v>0</v>
      </c>
      <c r="H69" s="541">
        <v>0</v>
      </c>
      <c r="I69" s="544"/>
      <c r="J69" s="545" t="str">
        <f>'Wrksht. F, CWIP Desc. EKC'!F59</f>
        <v>JEC SCRUBBERS</v>
      </c>
    </row>
    <row r="70" spans="1:10">
      <c r="A70" s="618">
        <f t="shared" si="1"/>
        <v>50</v>
      </c>
      <c r="B70" s="539" t="str">
        <f>'Wrksht. F, CWIP Desc. EKC'!B60</f>
        <v>1070002</v>
      </c>
      <c r="C70" s="540" t="str">
        <f>'Wrksht. F, CWIP Desc. EKC'!C60</f>
        <v>JEC0605977</v>
      </c>
      <c r="D70" s="541">
        <f>'Wrsht. G, CWIP AFUDC Cre. EKC '!I61</f>
        <v>0</v>
      </c>
      <c r="E70" s="542" t="str">
        <f>'Wrksht. F, CWIP Desc. EKC'!E60</f>
        <v>PC</v>
      </c>
      <c r="F70" s="541"/>
      <c r="G70" s="541">
        <f t="shared" si="3"/>
        <v>0</v>
      </c>
      <c r="H70" s="541">
        <v>0</v>
      </c>
      <c r="I70" s="544"/>
      <c r="J70" s="545" t="str">
        <f>'Wrksht. F, CWIP Desc. EKC'!F60</f>
        <v>JEC COM, FLUE GAS DESULFURIZATION</v>
      </c>
    </row>
    <row r="71" spans="1:10">
      <c r="A71" s="618">
        <f t="shared" si="1"/>
        <v>51</v>
      </c>
      <c r="B71" s="539" t="str">
        <f>'Wrksht. F, CWIP Desc. EKC'!B61</f>
        <v>1070002</v>
      </c>
      <c r="C71" s="540" t="str">
        <f>'Wrksht. F, CWIP Desc. EKC'!C61</f>
        <v>JEC0610127</v>
      </c>
      <c r="D71" s="608">
        <f>'Wrsht. G, CWIP AFUDC Cre. EKC '!I62</f>
        <v>0</v>
      </c>
      <c r="E71" s="542" t="str">
        <f>'Wrksht. F, CWIP Desc. EKC'!E61</f>
        <v>PC</v>
      </c>
      <c r="F71" s="541"/>
      <c r="G71" s="608">
        <f t="shared" si="3"/>
        <v>0</v>
      </c>
      <c r="H71" s="541">
        <v>0</v>
      </c>
      <c r="I71" s="544"/>
      <c r="J71" s="545" t="str">
        <f>'Wrksht. F, CWIP Desc. EKC'!F61</f>
        <v>JEC SCRUBBERS</v>
      </c>
    </row>
    <row r="72" spans="1:10">
      <c r="A72" s="618">
        <f t="shared" si="1"/>
        <v>52</v>
      </c>
      <c r="B72" s="539" t="str">
        <f>'Wrksht. F, CWIP Desc. EKC'!B62</f>
        <v>1070002</v>
      </c>
      <c r="C72" s="540" t="str">
        <f>'Wrksht. F, CWIP Desc. EKC'!C62</f>
        <v>JEC0611677</v>
      </c>
      <c r="D72" s="541">
        <f>'Wrsht. G, CWIP AFUDC Cre. EKC '!I63</f>
        <v>0</v>
      </c>
      <c r="E72" s="542" t="str">
        <f>'Wrksht. F, CWIP Desc. EKC'!E62</f>
        <v>O</v>
      </c>
      <c r="F72" s="541"/>
      <c r="G72" s="541">
        <f t="shared" si="3"/>
        <v>0</v>
      </c>
      <c r="H72" s="541">
        <f t="shared" ref="H72:H138" si="5">D72*0.5</f>
        <v>0</v>
      </c>
      <c r="I72" s="544"/>
      <c r="J72" s="545" t="str">
        <f>'Wrksht. F, CWIP Desc. EKC'!F62</f>
        <v>J1 HOT REHEAT PIPING INSPECTION</v>
      </c>
    </row>
    <row r="73" spans="1:10">
      <c r="A73" s="618">
        <f t="shared" si="1"/>
        <v>53</v>
      </c>
      <c r="B73" s="539" t="str">
        <f>'Wrksht. F, CWIP Desc. EKC'!B63</f>
        <v>1070002</v>
      </c>
      <c r="C73" s="540" t="str">
        <f>'Wrksht. F, CWIP Desc. EKC'!C63</f>
        <v>JEC0700624</v>
      </c>
      <c r="D73" s="541">
        <f>'Wrsht. G, CWIP AFUDC Cre. EKC '!I64</f>
        <v>0</v>
      </c>
      <c r="E73" s="542" t="str">
        <f>'Wrksht. F, CWIP Desc. EKC'!E63</f>
        <v>PC</v>
      </c>
      <c r="F73" s="541"/>
      <c r="G73" s="541">
        <f t="shared" si="3"/>
        <v>0</v>
      </c>
      <c r="H73" s="541">
        <v>0</v>
      </c>
      <c r="I73" s="544"/>
      <c r="J73" s="545" t="str">
        <f>'Wrksht. F, CWIP Desc. EKC'!F63</f>
        <v>J2 NEW FLY ASH CONVEYING SYSTEM</v>
      </c>
    </row>
    <row r="74" spans="1:10">
      <c r="A74" s="619">
        <f t="shared" si="1"/>
        <v>54</v>
      </c>
      <c r="B74" s="539" t="str">
        <f>'Wrksht. F, CWIP Desc. EKC'!B64</f>
        <v>1070002</v>
      </c>
      <c r="C74" s="540" t="str">
        <f>'Wrksht. F, CWIP Desc. EKC'!C64</f>
        <v>JEC0701131</v>
      </c>
      <c r="D74" s="541">
        <f>'Wrsht. G, CWIP AFUDC Cre. EKC '!I65</f>
        <v>0</v>
      </c>
      <c r="E74" s="542" t="str">
        <f>'Wrksht. F, CWIP Desc. EKC'!E64</f>
        <v>PC</v>
      </c>
      <c r="F74" s="541"/>
      <c r="G74" s="541">
        <f t="shared" si="3"/>
        <v>0</v>
      </c>
      <c r="H74" s="541">
        <v>0</v>
      </c>
      <c r="I74" s="544"/>
      <c r="J74" s="545" t="str">
        <f>'Wrksht. F, CWIP Desc. EKC'!F64</f>
        <v>J1 &amp; J3 ELECTROSTATIC PRECIPITATOR REBUILD PH1</v>
      </c>
    </row>
    <row r="75" spans="1:10">
      <c r="A75" s="618">
        <f t="shared" si="1"/>
        <v>55</v>
      </c>
      <c r="B75" s="539" t="str">
        <f>'Wrksht. F, CWIP Desc. EKC'!B65</f>
        <v>1070002</v>
      </c>
      <c r="C75" s="540" t="str">
        <f>'Wrksht. F, CWIP Desc. EKC'!C65</f>
        <v>JEC0701132</v>
      </c>
      <c r="D75" s="541">
        <f>'Wrsht. G, CWIP AFUDC Cre. EKC '!I66</f>
        <v>0</v>
      </c>
      <c r="E75" s="542" t="str">
        <f>'Wrksht. F, CWIP Desc. EKC'!E65</f>
        <v>PC</v>
      </c>
      <c r="F75" s="541"/>
      <c r="G75" s="541">
        <f t="shared" si="3"/>
        <v>0</v>
      </c>
      <c r="H75" s="541">
        <v>0</v>
      </c>
      <c r="I75" s="544"/>
      <c r="J75" s="545" t="str">
        <f>'Wrksht. F, CWIP Desc. EKC'!F65</f>
        <v>J1 &amp; J3 ELECTROSTATIC PRECIPITATOR REBUILD PH1</v>
      </c>
    </row>
    <row r="76" spans="1:10">
      <c r="A76" s="618">
        <f t="shared" si="1"/>
        <v>56</v>
      </c>
      <c r="B76" s="539" t="str">
        <f>'Wrksht. F, CWIP Desc. EKC'!B66</f>
        <v>1070002</v>
      </c>
      <c r="C76" s="540" t="str">
        <f>'Wrksht. F, CWIP Desc. EKC'!C66</f>
        <v>JEC0704255</v>
      </c>
      <c r="D76" s="541">
        <f>'Wrsht. G, CWIP AFUDC Cre. EKC '!I67</f>
        <v>0</v>
      </c>
      <c r="E76" s="542" t="str">
        <f>'Wrksht. F, CWIP Desc. EKC'!E66</f>
        <v>O</v>
      </c>
      <c r="F76" s="541"/>
      <c r="G76" s="541">
        <f t="shared" si="3"/>
        <v>0</v>
      </c>
      <c r="H76" s="541">
        <f t="shared" si="5"/>
        <v>0</v>
      </c>
      <c r="I76" s="544"/>
      <c r="J76" s="545" t="str">
        <f>'Wrksht. F, CWIP Desc. EKC'!F66</f>
        <v>J3 CIRCULATING WATER PIPE</v>
      </c>
    </row>
    <row r="77" spans="1:10">
      <c r="A77" s="618">
        <f t="shared" si="1"/>
        <v>57</v>
      </c>
      <c r="B77" s="539" t="str">
        <f>'Wrksht. F, CWIP Desc. EKC'!B67</f>
        <v>1070002</v>
      </c>
      <c r="C77" s="540" t="str">
        <f>'Wrksht. F, CWIP Desc. EKC'!C67</f>
        <v xml:space="preserve">JEC0704873  </v>
      </c>
      <c r="D77" s="541">
        <f>'Wrsht. G, CWIP AFUDC Cre. EKC '!I68</f>
        <v>0</v>
      </c>
      <c r="E77" s="542" t="str">
        <f>'Wrksht. F, CWIP Desc. EKC'!E67</f>
        <v>O</v>
      </c>
      <c r="F77" s="541"/>
      <c r="G77" s="541">
        <f t="shared" si="3"/>
        <v>0</v>
      </c>
      <c r="H77" s="541">
        <f t="shared" si="5"/>
        <v>0</v>
      </c>
      <c r="I77" s="544"/>
      <c r="J77" s="545" t="str">
        <f>'Wrksht. F, CWIP Desc. EKC'!F67</f>
        <v>J3 COAL SILO 301 BEAM SLOPING</v>
      </c>
    </row>
    <row r="78" spans="1:10">
      <c r="A78" s="618">
        <f t="shared" si="1"/>
        <v>58</v>
      </c>
      <c r="B78" s="539" t="str">
        <f>'Wrksht. F, CWIP Desc. EKC'!B68</f>
        <v>1070002</v>
      </c>
      <c r="C78" s="540" t="str">
        <f>'Wrksht. F, CWIP Desc. EKC'!C68</f>
        <v>JEC0706539</v>
      </c>
      <c r="D78" s="541">
        <f>'Wrsht. G, CWIP AFUDC Cre. EKC '!I69</f>
        <v>0</v>
      </c>
      <c r="E78" s="542" t="str">
        <f>'Wrksht. F, CWIP Desc. EKC'!E68</f>
        <v>O</v>
      </c>
      <c r="F78" s="541"/>
      <c r="G78" s="541">
        <f t="shared" si="3"/>
        <v>0</v>
      </c>
      <c r="H78" s="541">
        <f t="shared" si="5"/>
        <v>0</v>
      </c>
      <c r="I78" s="544"/>
      <c r="J78" s="545" t="str">
        <f>'Wrksht. F, CWIP Desc. EKC'!F68</f>
        <v>JCOM TRANSFER HOPPER 2 BEAM SLOPING</v>
      </c>
    </row>
    <row r="79" spans="1:10" ht="13.95" customHeight="1">
      <c r="A79" s="618">
        <f t="shared" si="1"/>
        <v>59</v>
      </c>
      <c r="B79" s="539" t="str">
        <f>'Wrksht. F, CWIP Desc. EKC'!B69</f>
        <v>1070002</v>
      </c>
      <c r="C79" s="540" t="str">
        <f>'Wrksht. F, CWIP Desc. EKC'!C69</f>
        <v>JEC0706838</v>
      </c>
      <c r="D79" s="541">
        <f>'Wrsht. G, CWIP AFUDC Cre. EKC '!I70</f>
        <v>0</v>
      </c>
      <c r="E79" s="542" t="str">
        <f>'Wrksht. F, CWIP Desc. EKC'!E69</f>
        <v>O</v>
      </c>
      <c r="F79" s="541"/>
      <c r="G79" s="541">
        <f t="shared" si="3"/>
        <v>0</v>
      </c>
      <c r="H79" s="541">
        <f t="shared" si="5"/>
        <v>0</v>
      </c>
      <c r="I79" s="544"/>
      <c r="J79" s="545" t="str">
        <f>'Wrksht. F, CWIP Desc. EKC'!F69</f>
        <v>JCOM REBUILD  #22 DEEPWELL</v>
      </c>
    </row>
    <row r="80" spans="1:10">
      <c r="A80" s="618">
        <f t="shared" si="1"/>
        <v>60</v>
      </c>
      <c r="B80" s="539" t="str">
        <f>'Wrksht. F, CWIP Desc. EKC'!B70</f>
        <v>1070002</v>
      </c>
      <c r="C80" s="540" t="str">
        <f>'Wrksht. F, CWIP Desc. EKC'!C70</f>
        <v>JEC0707476</v>
      </c>
      <c r="D80" s="541">
        <f>'Wrsht. G, CWIP AFUDC Cre. EKC '!I71</f>
        <v>0</v>
      </c>
      <c r="E80" s="542" t="str">
        <f>'Wrksht. F, CWIP Desc. EKC'!E70</f>
        <v>O</v>
      </c>
      <c r="F80" s="541"/>
      <c r="G80" s="541">
        <f t="shared" si="3"/>
        <v>0</v>
      </c>
      <c r="H80" s="541">
        <f t="shared" si="5"/>
        <v>0</v>
      </c>
      <c r="I80" s="544"/>
      <c r="J80" s="545" t="str">
        <f>'Wrksht. F, CWIP Desc. EKC'!F70</f>
        <v>JCOM SIMULATOR HYBRID CONVERSION</v>
      </c>
    </row>
    <row r="81" spans="1:10">
      <c r="A81" s="618">
        <f t="shared" si="1"/>
        <v>61</v>
      </c>
      <c r="B81" s="539" t="str">
        <f>'Wrksht. F, CWIP Desc. EKC'!B71</f>
        <v>1070002</v>
      </c>
      <c r="C81" s="540" t="str">
        <f>'Wrksht. F, CWIP Desc. EKC'!C71</f>
        <v>JEC0709637</v>
      </c>
      <c r="D81" s="541">
        <f>'Wrsht. G, CWIP AFUDC Cre. EKC '!I72</f>
        <v>0</v>
      </c>
      <c r="E81" s="542" t="str">
        <f>'Wrksht. F, CWIP Desc. EKC'!E71</f>
        <v>PC</v>
      </c>
      <c r="F81" s="541"/>
      <c r="G81" s="541">
        <f t="shared" si="3"/>
        <v>0</v>
      </c>
      <c r="H81" s="541">
        <v>0</v>
      </c>
      <c r="I81" s="544"/>
      <c r="J81" s="545" t="str">
        <f>'Wrksht. F, CWIP Desc. EKC'!F71</f>
        <v>J1 J2 &amp; J3 LOW NOX AND SOFA UPGRADE</v>
      </c>
    </row>
    <row r="82" spans="1:10">
      <c r="A82" s="618">
        <f t="shared" si="1"/>
        <v>62</v>
      </c>
      <c r="B82" s="539" t="str">
        <f>'Wrksht. F, CWIP Desc. EKC'!B72</f>
        <v>1070002</v>
      </c>
      <c r="C82" s="540" t="str">
        <f>'Wrksht. F, CWIP Desc. EKC'!C72</f>
        <v>JEC0713055</v>
      </c>
      <c r="D82" s="541">
        <f>'Wrsht. G, CWIP AFUDC Cre. EKC '!I73</f>
        <v>0</v>
      </c>
      <c r="E82" s="542" t="str">
        <f>'Wrksht. F, CWIP Desc. EKC'!E72</f>
        <v>O</v>
      </c>
      <c r="F82" s="541"/>
      <c r="G82" s="541">
        <f t="shared" si="3"/>
        <v>0</v>
      </c>
      <c r="H82" s="541">
        <f t="shared" si="5"/>
        <v>0</v>
      </c>
      <c r="I82" s="544"/>
      <c r="J82" s="545" t="str">
        <f>'Wrksht. F, CWIP Desc. EKC'!F72</f>
        <v>J2 BOILER CIRCULATING PUMPS</v>
      </c>
    </row>
    <row r="83" spans="1:10">
      <c r="A83" s="618">
        <f t="shared" si="1"/>
        <v>63</v>
      </c>
      <c r="B83" s="539" t="str">
        <f>'Wrksht. F, CWIP Desc. EKC'!B73</f>
        <v>1070002</v>
      </c>
      <c r="C83" s="540" t="str">
        <f>'Wrksht. F, CWIP Desc. EKC'!C73</f>
        <v>JEC0713521</v>
      </c>
      <c r="D83" s="541">
        <f>'Wrsht. G, CWIP AFUDC Cre. EKC '!I74</f>
        <v>0</v>
      </c>
      <c r="E83" s="542" t="str">
        <f>'Wrksht. F, CWIP Desc. EKC'!E73</f>
        <v>O</v>
      </c>
      <c r="F83" s="541"/>
      <c r="G83" s="541">
        <f t="shared" si="3"/>
        <v>0</v>
      </c>
      <c r="H83" s="541">
        <f t="shared" si="5"/>
        <v>0</v>
      </c>
      <c r="I83" s="544"/>
      <c r="J83" s="545" t="str">
        <f>'Wrksht. F, CWIP Desc. EKC'!F73</f>
        <v>J3 BOILER CIRCULATING PUMPS</v>
      </c>
    </row>
    <row r="84" spans="1:10">
      <c r="A84" s="618">
        <f t="shared" si="1"/>
        <v>64</v>
      </c>
      <c r="B84" s="539" t="str">
        <f>'Wrksht. F, CWIP Desc. EKC'!B74</f>
        <v>1070002</v>
      </c>
      <c r="C84" s="540" t="str">
        <f>'Wrksht. F, CWIP Desc. EKC'!C74</f>
        <v>JEC0713578</v>
      </c>
      <c r="D84" s="541">
        <f>'Wrsht. G, CWIP AFUDC Cre. EKC '!I75</f>
        <v>0</v>
      </c>
      <c r="E84" s="542" t="str">
        <f>'Wrksht. F, CWIP Desc. EKC'!E74</f>
        <v>O</v>
      </c>
      <c r="F84" s="541"/>
      <c r="G84" s="541">
        <f t="shared" si="3"/>
        <v>0</v>
      </c>
      <c r="H84" s="541">
        <f t="shared" si="5"/>
        <v>0</v>
      </c>
      <c r="I84" s="544"/>
      <c r="J84" s="545" t="str">
        <f>'Wrksht. F, CWIP Desc. EKC'!F74</f>
        <v>J2 &amp; J3 CRH ACOUSTIC INSPECTION SYSTEM</v>
      </c>
    </row>
    <row r="85" spans="1:10">
      <c r="A85" s="618">
        <f t="shared" si="1"/>
        <v>65</v>
      </c>
      <c r="B85" s="539" t="str">
        <f>'Wrksht. F, CWIP Desc. EKC'!B75</f>
        <v>1070002</v>
      </c>
      <c r="C85" s="540" t="str">
        <f>'Wrksht. F, CWIP Desc. EKC'!C75</f>
        <v>JEC0716993</v>
      </c>
      <c r="D85" s="541">
        <f>'Wrsht. G, CWIP AFUDC Cre. EKC '!I76</f>
        <v>0</v>
      </c>
      <c r="E85" s="542" t="str">
        <f>'Wrksht. F, CWIP Desc. EKC'!E75</f>
        <v>O</v>
      </c>
      <c r="F85" s="541"/>
      <c r="G85" s="541">
        <f t="shared" ref="G85:G96" si="6">IF(H85=0,D85,0)</f>
        <v>0</v>
      </c>
      <c r="H85" s="541">
        <f t="shared" si="5"/>
        <v>0</v>
      </c>
      <c r="I85" s="544"/>
      <c r="J85" s="545" t="str">
        <f>'Wrksht. F, CWIP Desc. EKC'!F75</f>
        <v>REPLACE THE DELUGE VALVE &amp; CONTROL PANEL</v>
      </c>
    </row>
    <row r="86" spans="1:10">
      <c r="A86" s="618">
        <f t="shared" si="1"/>
        <v>66</v>
      </c>
      <c r="B86" s="539" t="str">
        <f>'Wrksht. F, CWIP Desc. EKC'!B76</f>
        <v>1070002</v>
      </c>
      <c r="C86" s="540" t="str">
        <f>'Wrksht. F, CWIP Desc. EKC'!C76</f>
        <v>JEC0719212</v>
      </c>
      <c r="D86" s="541">
        <f>'Wrsht. G, CWIP AFUDC Cre. EKC '!I77</f>
        <v>0</v>
      </c>
      <c r="E86" s="542" t="str">
        <f>'Wrksht. F, CWIP Desc. EKC'!E76</f>
        <v>O</v>
      </c>
      <c r="F86" s="541"/>
      <c r="G86" s="541">
        <f t="shared" si="6"/>
        <v>0</v>
      </c>
      <c r="H86" s="541">
        <f t="shared" si="5"/>
        <v>0</v>
      </c>
      <c r="I86" s="544"/>
      <c r="J86" s="545" t="str">
        <f>'Wrksht. F, CWIP Desc. EKC'!F76</f>
        <v>J1 INTELLIGENT SOOTBLOWERS UPGRADE</v>
      </c>
    </row>
    <row r="87" spans="1:10">
      <c r="A87" s="618">
        <f t="shared" ref="A87:A96" si="7">A86+1</f>
        <v>67</v>
      </c>
      <c r="B87" s="539" t="str">
        <f>'Wrksht. F, CWIP Desc. EKC'!B77</f>
        <v>1070002</v>
      </c>
      <c r="C87" s="540" t="str">
        <f>'Wrksht. F, CWIP Desc. EKC'!C77</f>
        <v>JEC0719280</v>
      </c>
      <c r="D87" s="541">
        <f>'Wrsht. G, CWIP AFUDC Cre. EKC '!I78</f>
        <v>0</v>
      </c>
      <c r="E87" s="542" t="str">
        <f>'Wrksht. F, CWIP Desc. EKC'!E77</f>
        <v>O</v>
      </c>
      <c r="F87" s="541"/>
      <c r="G87" s="541">
        <f t="shared" si="6"/>
        <v>0</v>
      </c>
      <c r="H87" s="541">
        <f t="shared" si="5"/>
        <v>0</v>
      </c>
      <c r="I87" s="544"/>
      <c r="J87" s="545" t="str">
        <f>'Wrksht. F, CWIP Desc. EKC'!F77</f>
        <v>J1 REPLACE INVERTER POWER SUPPLIES</v>
      </c>
    </row>
    <row r="88" spans="1:10">
      <c r="A88" s="618">
        <f t="shared" si="7"/>
        <v>68</v>
      </c>
      <c r="B88" s="539" t="str">
        <f>'Wrksht. F, CWIP Desc. EKC'!B78</f>
        <v>1070002</v>
      </c>
      <c r="C88" s="540" t="str">
        <f>'Wrksht. F, CWIP Desc. EKC'!C78</f>
        <v>JEC0720833</v>
      </c>
      <c r="D88" s="541">
        <f>'Wrsht. G, CWIP AFUDC Cre. EKC '!I79</f>
        <v>0</v>
      </c>
      <c r="E88" s="542" t="str">
        <f>'Wrksht. F, CWIP Desc. EKC'!E78</f>
        <v>O</v>
      </c>
      <c r="F88" s="541"/>
      <c r="G88" s="541">
        <f t="shared" si="6"/>
        <v>0</v>
      </c>
      <c r="H88" s="541">
        <f t="shared" si="5"/>
        <v>0</v>
      </c>
      <c r="I88" s="544"/>
      <c r="J88" s="545" t="str">
        <f>'Wrksht. F, CWIP Desc. EKC'!F78</f>
        <v>J3 UPGRADE 6.9 KV SWITCHGEAR TO DCS</v>
      </c>
    </row>
    <row r="89" spans="1:10">
      <c r="A89" s="618">
        <f t="shared" si="7"/>
        <v>69</v>
      </c>
      <c r="B89" s="539" t="str">
        <f>'Wrksht. F, CWIP Desc. EKC'!B79</f>
        <v>1070002</v>
      </c>
      <c r="C89" s="540" t="str">
        <f>'Wrksht. F, CWIP Desc. EKC'!C79</f>
        <v>JEC0800819</v>
      </c>
      <c r="D89" s="541">
        <f>'Wrsht. G, CWIP AFUDC Cre. EKC '!I80</f>
        <v>0</v>
      </c>
      <c r="E89" s="542" t="str">
        <f>'Wrksht. F, CWIP Desc. EKC'!E79</f>
        <v>O</v>
      </c>
      <c r="F89" s="541"/>
      <c r="G89" s="541">
        <f t="shared" si="6"/>
        <v>0</v>
      </c>
      <c r="H89" s="541">
        <f t="shared" si="5"/>
        <v>0</v>
      </c>
      <c r="I89" s="544"/>
      <c r="J89" s="545" t="str">
        <f>'Wrksht. F, CWIP Desc. EKC'!F79</f>
        <v>JCOM MAGNETIC SEPARATORS</v>
      </c>
    </row>
    <row r="90" spans="1:10">
      <c r="A90" s="618">
        <f t="shared" si="7"/>
        <v>70</v>
      </c>
      <c r="B90" s="539" t="str">
        <f>'Wrksht. F, CWIP Desc. EKC'!B80</f>
        <v>1070002</v>
      </c>
      <c r="C90" s="540" t="str">
        <f>'Wrksht. F, CWIP Desc. EKC'!C80</f>
        <v>JEC0800940</v>
      </c>
      <c r="D90" s="541">
        <f>'Wrsht. G, CWIP AFUDC Cre. EKC '!I81</f>
        <v>0</v>
      </c>
      <c r="E90" s="542" t="str">
        <f>'Wrksht. F, CWIP Desc. EKC'!E80</f>
        <v>O</v>
      </c>
      <c r="F90" s="541"/>
      <c r="G90" s="541">
        <f t="shared" si="6"/>
        <v>0</v>
      </c>
      <c r="H90" s="541">
        <f t="shared" si="5"/>
        <v>0</v>
      </c>
      <c r="I90" s="544"/>
      <c r="J90" s="545" t="str">
        <f>'Wrksht. F, CWIP Desc. EKC'!F80</f>
        <v>JCOM COAL FIRE PROTECTION</v>
      </c>
    </row>
    <row r="91" spans="1:10">
      <c r="A91" s="618">
        <f t="shared" si="7"/>
        <v>71</v>
      </c>
      <c r="B91" s="539" t="str">
        <f>'Wrksht. F, CWIP Desc. EKC'!B81</f>
        <v>1070002</v>
      </c>
      <c r="C91" s="540" t="str">
        <f>'Wrksht. F, CWIP Desc. EKC'!C81</f>
        <v>JEC0801636</v>
      </c>
      <c r="D91" s="541">
        <f>'Wrsht. G, CWIP AFUDC Cre. EKC '!I82</f>
        <v>0</v>
      </c>
      <c r="E91" s="542" t="str">
        <f>'Wrksht. F, CWIP Desc. EKC'!E81</f>
        <v>PC</v>
      </c>
      <c r="F91" s="541"/>
      <c r="G91" s="541">
        <f t="shared" si="6"/>
        <v>0</v>
      </c>
      <c r="H91" s="541">
        <v>0</v>
      </c>
      <c r="I91" s="544"/>
      <c r="J91" s="545" t="str">
        <f>'Wrksht. F, CWIP Desc. EKC'!F81</f>
        <v>J3 FLY ASH SYSTEM REPLACEMENT</v>
      </c>
    </row>
    <row r="92" spans="1:10">
      <c r="A92" s="618">
        <f t="shared" si="7"/>
        <v>72</v>
      </c>
      <c r="B92" s="539" t="str">
        <f>'Wrksht. F, CWIP Desc. EKC'!B82</f>
        <v>1070002</v>
      </c>
      <c r="C92" s="540" t="str">
        <f>'Wrksht. F, CWIP Desc. EKC'!C82</f>
        <v>JEC0802554</v>
      </c>
      <c r="D92" s="541">
        <f>'Wrsht. G, CWIP AFUDC Cre. EKC '!I83</f>
        <v>0</v>
      </c>
      <c r="E92" s="542" t="str">
        <f>'Wrksht. F, CWIP Desc. EKC'!E82</f>
        <v>O</v>
      </c>
      <c r="F92" s="541"/>
      <c r="G92" s="541">
        <f t="shared" si="6"/>
        <v>0</v>
      </c>
      <c r="H92" s="541">
        <f t="shared" si="5"/>
        <v>0</v>
      </c>
      <c r="I92" s="544"/>
      <c r="J92" s="545" t="str">
        <f>'Wrksht. F, CWIP Desc. EKC'!F82</f>
        <v>JCOM 6.9 KV BREAKER REMOTE RACKING</v>
      </c>
    </row>
    <row r="93" spans="1:10">
      <c r="A93" s="618">
        <f t="shared" si="7"/>
        <v>73</v>
      </c>
      <c r="B93" s="539" t="str">
        <f>'Wrksht. F, CWIP Desc. EKC'!B83</f>
        <v>1070002</v>
      </c>
      <c r="C93" s="540" t="str">
        <f>'Wrksht. F, CWIP Desc. EKC'!C83</f>
        <v>JEC0802555</v>
      </c>
      <c r="D93" s="541">
        <f>'Wrsht. G, CWIP AFUDC Cre. EKC '!I84</f>
        <v>0</v>
      </c>
      <c r="E93" s="542" t="str">
        <f>'Wrksht. F, CWIP Desc. EKC'!E83</f>
        <v>O</v>
      </c>
      <c r="F93" s="541"/>
      <c r="G93" s="541">
        <f t="shared" si="6"/>
        <v>0</v>
      </c>
      <c r="H93" s="541">
        <f t="shared" si="5"/>
        <v>0</v>
      </c>
      <c r="I93" s="544"/>
      <c r="J93" s="545" t="str">
        <f>'Wrksht. F, CWIP Desc. EKC'!F83</f>
        <v>JCOM 6.9 KV BREAKER REMOTE RACKING</v>
      </c>
    </row>
    <row r="94" spans="1:10">
      <c r="A94" s="619">
        <f t="shared" si="7"/>
        <v>74</v>
      </c>
      <c r="B94" s="539" t="str">
        <f>'Wrksht. F, CWIP Desc. EKC'!B84</f>
        <v>1070002</v>
      </c>
      <c r="C94" s="540" t="str">
        <f>'Wrksht. F, CWIP Desc. EKC'!C84</f>
        <v>JEC0802916</v>
      </c>
      <c r="D94" s="541">
        <f>'Wrsht. G, CWIP AFUDC Cre. EKC '!I85</f>
        <v>0</v>
      </c>
      <c r="E94" s="542" t="str">
        <f>'Wrksht. F, CWIP Desc. EKC'!E84</f>
        <v>PC</v>
      </c>
      <c r="F94" s="541"/>
      <c r="G94" s="541">
        <f t="shared" si="6"/>
        <v>0</v>
      </c>
      <c r="H94" s="541">
        <v>0</v>
      </c>
      <c r="I94" s="544"/>
      <c r="J94" s="545" t="str">
        <f>'Wrksht. F, CWIP Desc. EKC'!F84</f>
        <v>J2 ESP REBUILD PHASE 1</v>
      </c>
    </row>
    <row r="95" spans="1:10">
      <c r="A95" s="618">
        <f t="shared" si="7"/>
        <v>75</v>
      </c>
      <c r="B95" s="539" t="str">
        <f>'Wrksht. F, CWIP Desc. EKC'!B85</f>
        <v>1070002</v>
      </c>
      <c r="C95" s="540" t="str">
        <f>'Wrksht. F, CWIP Desc. EKC'!C85</f>
        <v>JEC0806089</v>
      </c>
      <c r="D95" s="541">
        <f>'Wrsht. G, CWIP AFUDC Cre. EKC '!I86</f>
        <v>0</v>
      </c>
      <c r="E95" s="542" t="str">
        <f>'Wrksht. F, CWIP Desc. EKC'!E85</f>
        <v>O</v>
      </c>
      <c r="F95" s="541"/>
      <c r="G95" s="541">
        <f t="shared" si="6"/>
        <v>0</v>
      </c>
      <c r="H95" s="541">
        <f t="shared" si="5"/>
        <v>0</v>
      </c>
      <c r="I95" s="544"/>
      <c r="J95" s="545" t="str">
        <f>'Wrksht. F, CWIP Desc. EKC'!F85</f>
        <v>JEC WATER SUPPLY UPGRADES</v>
      </c>
    </row>
    <row r="96" spans="1:10">
      <c r="A96" s="618">
        <f t="shared" si="7"/>
        <v>76</v>
      </c>
      <c r="B96" s="539" t="str">
        <f>'Wrksht. F, CWIP Desc. EKC'!B86</f>
        <v>1070002</v>
      </c>
      <c r="C96" s="540" t="str">
        <f>'Wrksht. F, CWIP Desc. EKC'!C86</f>
        <v>JEC0806112</v>
      </c>
      <c r="D96" s="546">
        <f>'Wrsht. G, CWIP AFUDC Cre. EKC '!I87</f>
        <v>0</v>
      </c>
      <c r="E96" s="542" t="str">
        <f>'Wrksht. F, CWIP Desc. EKC'!E86</f>
        <v>O</v>
      </c>
      <c r="F96" s="541"/>
      <c r="G96" s="546">
        <f t="shared" si="6"/>
        <v>0</v>
      </c>
      <c r="H96" s="546">
        <f t="shared" si="5"/>
        <v>0</v>
      </c>
      <c r="I96" s="544"/>
      <c r="J96" s="545" t="str">
        <f>'Wrksht. F, CWIP Desc. EKC'!F86</f>
        <v>J2 COOLING TOWER SWITCHGEAR UPGRADE</v>
      </c>
    </row>
    <row r="97" spans="1:10">
      <c r="A97" s="618">
        <f t="shared" ref="A97:A138" si="8">A96+1</f>
        <v>77</v>
      </c>
      <c r="B97" s="539" t="str">
        <f>'Wrksht. F, CWIP Desc. EKC'!B87</f>
        <v>1070002</v>
      </c>
      <c r="C97" s="540" t="str">
        <f>'Wrksht. F, CWIP Desc. EKC'!C87</f>
        <v>JEC0806127</v>
      </c>
      <c r="D97" s="546">
        <f>'Wrsht. G, CWIP AFUDC Cre. EKC '!I88</f>
        <v>0</v>
      </c>
      <c r="E97" s="542" t="str">
        <f>'Wrksht. F, CWIP Desc. EKC'!E87</f>
        <v>O</v>
      </c>
      <c r="F97" s="541"/>
      <c r="G97" s="546">
        <f t="shared" ref="G97:G124" si="9">IF(H97=0,D97,0)</f>
        <v>0</v>
      </c>
      <c r="H97" s="546">
        <f t="shared" si="5"/>
        <v>0</v>
      </c>
      <c r="I97" s="544"/>
      <c r="J97" s="545" t="str">
        <f>'Wrksht. F, CWIP Desc. EKC'!F87</f>
        <v>J3 TVR TO DIGITAL VOLTAGE REGULATOR</v>
      </c>
    </row>
    <row r="98" spans="1:10">
      <c r="A98" s="618">
        <f t="shared" si="8"/>
        <v>78</v>
      </c>
      <c r="B98" s="539" t="str">
        <f>'Wrksht. F, CWIP Desc. EKC'!B88</f>
        <v>1070002</v>
      </c>
      <c r="C98" s="540" t="str">
        <f>'Wrksht. F, CWIP Desc. EKC'!C88</f>
        <v>JEC0806734</v>
      </c>
      <c r="D98" s="546">
        <f>'Wrsht. G, CWIP AFUDC Cre. EKC '!I89</f>
        <v>0</v>
      </c>
      <c r="E98" s="542" t="str">
        <f>'Wrksht. F, CWIP Desc. EKC'!E88</f>
        <v>O</v>
      </c>
      <c r="F98" s="541"/>
      <c r="G98" s="546">
        <f t="shared" si="9"/>
        <v>0</v>
      </c>
      <c r="H98" s="546">
        <f t="shared" si="5"/>
        <v>0</v>
      </c>
      <c r="I98" s="544"/>
      <c r="J98" s="545" t="str">
        <f>'Wrksht. F, CWIP Desc. EKC'!F88</f>
        <v>J3 RADIAL SEAL AND T-BAR REPLACEMENT</v>
      </c>
    </row>
    <row r="99" spans="1:10">
      <c r="A99" s="618">
        <f t="shared" si="8"/>
        <v>79</v>
      </c>
      <c r="B99" s="539" t="str">
        <f>'Wrksht. F, CWIP Desc. EKC'!B89</f>
        <v>1070002</v>
      </c>
      <c r="C99" s="540" t="str">
        <f>'Wrksht. F, CWIP Desc. EKC'!C89</f>
        <v>JEC0807532</v>
      </c>
      <c r="D99" s="546">
        <f>'Wrsht. G, CWIP AFUDC Cre. EKC '!I90</f>
        <v>0</v>
      </c>
      <c r="E99" s="542" t="str">
        <f>'Wrksht. F, CWIP Desc. EKC'!E89</f>
        <v>PC</v>
      </c>
      <c r="F99" s="541"/>
      <c r="G99" s="546">
        <f t="shared" si="9"/>
        <v>0</v>
      </c>
      <c r="H99" s="546">
        <v>0</v>
      </c>
      <c r="I99" s="544"/>
      <c r="J99" s="545" t="str">
        <f>'Wrksht. F, CWIP Desc. EKC'!F89</f>
        <v>J2 LOW NOX &amp; SOFA UPGRADE PH1</v>
      </c>
    </row>
    <row r="100" spans="1:10">
      <c r="A100" s="618">
        <f t="shared" si="8"/>
        <v>80</v>
      </c>
      <c r="B100" s="539" t="str">
        <f>'Wrksht. F, CWIP Desc. EKC'!B90</f>
        <v>1070002</v>
      </c>
      <c r="C100" s="540" t="str">
        <f>'Wrksht. F, CWIP Desc. EKC'!C90</f>
        <v>JEC0809051</v>
      </c>
      <c r="D100" s="546">
        <f>'Wrsht. G, CWIP AFUDC Cre. EKC '!I91</f>
        <v>0</v>
      </c>
      <c r="E100" s="542" t="str">
        <f>'Wrksht. F, CWIP Desc. EKC'!E90</f>
        <v>O</v>
      </c>
      <c r="F100" s="541"/>
      <c r="G100" s="546">
        <f t="shared" si="9"/>
        <v>0</v>
      </c>
      <c r="H100" s="546">
        <f t="shared" si="5"/>
        <v>0</v>
      </c>
      <c r="I100" s="544"/>
      <c r="J100" s="545" t="str">
        <f>'Wrksht. F, CWIP Desc. EKC'!F90</f>
        <v>REPLACE TRANSFER BUILDING 1 WIRE ROPE HOIST</v>
      </c>
    </row>
    <row r="101" spans="1:10" ht="20.399999999999999">
      <c r="A101" s="1740" t="str">
        <f>A51</f>
        <v>WORKSHEET A (EKC), CWIP ACCOUNT 107</v>
      </c>
      <c r="B101" s="1740"/>
      <c r="C101" s="1741"/>
      <c r="D101" s="1741"/>
      <c r="E101" s="1741"/>
      <c r="F101" s="1741"/>
      <c r="G101" s="1741"/>
      <c r="H101" s="1741"/>
      <c r="I101" s="1741"/>
      <c r="J101" s="1741"/>
    </row>
    <row r="102" spans="1:10" ht="19.2">
      <c r="A102" s="1742" t="str">
        <f>A2</f>
        <v>For Contract Year Beginning June 1, 2024, Based on 2023 Data</v>
      </c>
      <c r="B102" s="1742"/>
      <c r="C102" s="1743"/>
      <c r="D102" s="1743"/>
      <c r="E102" s="1743"/>
      <c r="F102" s="1743"/>
      <c r="G102" s="1743"/>
      <c r="H102" s="1743"/>
      <c r="I102" s="1743"/>
      <c r="J102" s="1743"/>
    </row>
    <row r="103" spans="1:10" ht="13.8">
      <c r="H103" s="507"/>
    </row>
    <row r="104" spans="1:10" ht="15.6">
      <c r="C104" s="507"/>
      <c r="D104" s="488" t="s">
        <v>480</v>
      </c>
      <c r="E104" s="488" t="s">
        <v>481</v>
      </c>
      <c r="F104" s="488" t="s">
        <v>482</v>
      </c>
      <c r="G104" s="488" t="s">
        <v>483</v>
      </c>
      <c r="H104" s="488" t="s">
        <v>484</v>
      </c>
      <c r="I104" s="488" t="s">
        <v>884</v>
      </c>
      <c r="J104" s="488" t="s">
        <v>485</v>
      </c>
    </row>
    <row r="105" spans="1:10" ht="15.6">
      <c r="D105" s="489" t="s">
        <v>1545</v>
      </c>
      <c r="E105" s="490" t="s">
        <v>1578</v>
      </c>
      <c r="F105" s="491"/>
      <c r="G105" s="490">
        <v>1</v>
      </c>
      <c r="H105" s="490">
        <v>0.5</v>
      </c>
      <c r="I105" s="488" t="s">
        <v>468</v>
      </c>
      <c r="J105" s="489" t="s">
        <v>476</v>
      </c>
    </row>
    <row r="106" spans="1:10" ht="15.6">
      <c r="D106" s="489" t="s">
        <v>1568</v>
      </c>
      <c r="E106" s="488" t="s">
        <v>1583</v>
      </c>
      <c r="F106" s="488"/>
      <c r="G106" s="488" t="s">
        <v>116</v>
      </c>
      <c r="H106" s="488" t="s">
        <v>116</v>
      </c>
      <c r="I106" s="488" t="s">
        <v>1079</v>
      </c>
      <c r="J106" s="489" t="s">
        <v>15</v>
      </c>
    </row>
    <row r="107" spans="1:10" ht="15.6">
      <c r="D107" s="489" t="s">
        <v>1569</v>
      </c>
      <c r="E107" s="492" t="s">
        <v>220</v>
      </c>
      <c r="F107" s="488"/>
      <c r="G107" s="488" t="s">
        <v>1584</v>
      </c>
      <c r="H107" s="488" t="s">
        <v>1585</v>
      </c>
      <c r="I107" s="488" t="s">
        <v>299</v>
      </c>
      <c r="J107" s="489"/>
    </row>
    <row r="108" spans="1:10" ht="15.6">
      <c r="D108" s="493" t="s">
        <v>1948</v>
      </c>
      <c r="E108" s="492"/>
      <c r="F108" s="494"/>
      <c r="G108" s="495"/>
      <c r="H108" s="495"/>
      <c r="I108" s="495"/>
      <c r="J108" s="495"/>
    </row>
    <row r="109" spans="1:10">
      <c r="D109" s="504"/>
      <c r="E109" s="497"/>
      <c r="F109" s="498"/>
    </row>
    <row r="110" spans="1:10" ht="13.8">
      <c r="A110" s="499" t="s">
        <v>531</v>
      </c>
      <c r="B110" s="500" t="s">
        <v>1078</v>
      </c>
      <c r="C110" s="501" t="s">
        <v>1077</v>
      </c>
      <c r="D110" s="502"/>
      <c r="E110" s="503"/>
      <c r="F110" s="503"/>
      <c r="G110" s="503"/>
      <c r="H110" s="503"/>
      <c r="I110" s="503"/>
      <c r="J110" s="502"/>
    </row>
    <row r="111" spans="1:10">
      <c r="A111" s="618">
        <f>A100+1</f>
        <v>81</v>
      </c>
      <c r="B111" s="539" t="str">
        <f>'Wrksht. F, CWIP Desc. EKC'!B91</f>
        <v>1070002</v>
      </c>
      <c r="C111" s="540" t="str">
        <f>'Wrksht. F, CWIP Desc. EKC'!C91</f>
        <v>JEC0810415</v>
      </c>
      <c r="D111" s="546">
        <f>'Wrsht. G, CWIP AFUDC Cre. EKC '!I92</f>
        <v>0</v>
      </c>
      <c r="E111" s="542" t="str">
        <f>'Wrksht. F, CWIP Desc. EKC'!E91</f>
        <v>O</v>
      </c>
      <c r="F111" s="541"/>
      <c r="G111" s="546">
        <f t="shared" si="9"/>
        <v>0</v>
      </c>
      <c r="H111" s="546">
        <f t="shared" si="5"/>
        <v>0</v>
      </c>
      <c r="I111" s="544"/>
      <c r="J111" s="545" t="str">
        <f>'Wrksht. F, CWIP Desc. EKC'!F91</f>
        <v>PURCHASE ERGONOMIC CHAIRS</v>
      </c>
    </row>
    <row r="112" spans="1:10">
      <c r="A112" s="618">
        <f t="shared" si="8"/>
        <v>82</v>
      </c>
      <c r="B112" s="539" t="str">
        <f>'Wrksht. F, CWIP Desc. EKC'!B92</f>
        <v>1070002</v>
      </c>
      <c r="C112" s="540" t="str">
        <f>'Wrksht. F, CWIP Desc. EKC'!C92</f>
        <v>JEC0810709</v>
      </c>
      <c r="D112" s="546">
        <f>'Wrsht. G, CWIP AFUDC Cre. EKC '!I93</f>
        <v>0</v>
      </c>
      <c r="E112" s="542" t="str">
        <f>'Wrksht. F, CWIP Desc. EKC'!E92</f>
        <v>O</v>
      </c>
      <c r="F112" s="541"/>
      <c r="G112" s="546">
        <f t="shared" si="9"/>
        <v>0</v>
      </c>
      <c r="H112" s="546">
        <f t="shared" si="5"/>
        <v>0</v>
      </c>
      <c r="I112" s="544"/>
      <c r="J112" s="545" t="str">
        <f>'Wrksht. F, CWIP Desc. EKC'!F92</f>
        <v>JCOM DUMPER BUILDING HVAC IMPROVEMENTS</v>
      </c>
    </row>
    <row r="113" spans="1:10">
      <c r="A113" s="618">
        <f t="shared" si="8"/>
        <v>83</v>
      </c>
      <c r="B113" s="539" t="str">
        <f>'Wrksht. F, CWIP Desc. EKC'!B93</f>
        <v>1070002</v>
      </c>
      <c r="C113" s="540" t="str">
        <f>'Wrksht. F, CWIP Desc. EKC'!C93</f>
        <v>JEC0810728</v>
      </c>
      <c r="D113" s="546">
        <f>'Wrsht. G, CWIP AFUDC Cre. EKC '!I94</f>
        <v>0</v>
      </c>
      <c r="E113" s="542" t="str">
        <f>'Wrksht. F, CWIP Desc. EKC'!E93</f>
        <v>O</v>
      </c>
      <c r="F113" s="541"/>
      <c r="G113" s="546">
        <f t="shared" si="9"/>
        <v>0</v>
      </c>
      <c r="H113" s="546">
        <f t="shared" si="5"/>
        <v>0</v>
      </c>
      <c r="I113" s="544"/>
      <c r="J113" s="545" t="str">
        <f>'Wrksht. F, CWIP Desc. EKC'!F93</f>
        <v>JCOM 3A/3B CONVEYOR IDLER REPLACEMENT</v>
      </c>
    </row>
    <row r="114" spans="1:10">
      <c r="A114" s="618">
        <f t="shared" si="8"/>
        <v>84</v>
      </c>
      <c r="B114" s="539" t="str">
        <f>'Wrksht. F, CWIP Desc. EKC'!B94</f>
        <v>1070002</v>
      </c>
      <c r="C114" s="540" t="str">
        <f>'Wrksht. F, CWIP Desc. EKC'!C94</f>
        <v>JEC0812008</v>
      </c>
      <c r="D114" s="546">
        <f>'Wrsht. G, CWIP AFUDC Cre. EKC '!I95</f>
        <v>0</v>
      </c>
      <c r="E114" s="542" t="str">
        <f>'Wrksht. F, CWIP Desc. EKC'!E94</f>
        <v>O</v>
      </c>
      <c r="F114" s="541"/>
      <c r="G114" s="546">
        <f t="shared" si="9"/>
        <v>0</v>
      </c>
      <c r="H114" s="546">
        <f t="shared" si="5"/>
        <v>0</v>
      </c>
      <c r="I114" s="544"/>
      <c r="J114" s="545" t="str">
        <f>'Wrksht. F, CWIP Desc. EKC'!F94</f>
        <v>JCOM PLANT LIGHTING UPGRADE</v>
      </c>
    </row>
    <row r="115" spans="1:10">
      <c r="A115" s="618">
        <f t="shared" si="8"/>
        <v>85</v>
      </c>
      <c r="B115" s="539" t="str">
        <f>'Wrksht. F, CWIP Desc. EKC'!B95</f>
        <v>1070002</v>
      </c>
      <c r="C115" s="540" t="str">
        <f>'Wrksht. F, CWIP Desc. EKC'!C95</f>
        <v>JEC0812402</v>
      </c>
      <c r="D115" s="546">
        <f>'Wrsht. G, CWIP AFUDC Cre. EKC '!I96</f>
        <v>0</v>
      </c>
      <c r="E115" s="542" t="str">
        <f>'Wrksht. F, CWIP Desc. EKC'!E95</f>
        <v>PC</v>
      </c>
      <c r="F115" s="541"/>
      <c r="G115" s="546">
        <f t="shared" si="9"/>
        <v>0</v>
      </c>
      <c r="H115" s="546">
        <v>0</v>
      </c>
      <c r="I115" s="544"/>
      <c r="J115" s="545" t="str">
        <f>'Wrksht. F, CWIP Desc. EKC'!F95</f>
        <v>JCOM FUEL YARD DUST SURFACTANT UPGRADE</v>
      </c>
    </row>
    <row r="116" spans="1:10">
      <c r="A116" s="618">
        <f t="shared" si="8"/>
        <v>86</v>
      </c>
      <c r="B116" s="539" t="str">
        <f>'Wrksht. F, CWIP Desc. EKC'!B96</f>
        <v>1070002</v>
      </c>
      <c r="C116" s="540" t="str">
        <f>'Wrksht. F, CWIP Desc. EKC'!C96</f>
        <v>JEC0813049</v>
      </c>
      <c r="D116" s="546">
        <f>'Wrsht. G, CWIP AFUDC Cre. EKC '!I97</f>
        <v>0</v>
      </c>
      <c r="E116" s="542" t="str">
        <f>'Wrksht. F, CWIP Desc. EKC'!E96</f>
        <v>O</v>
      </c>
      <c r="F116" s="541"/>
      <c r="G116" s="546">
        <f t="shared" si="9"/>
        <v>0</v>
      </c>
      <c r="H116" s="546">
        <f t="shared" si="5"/>
        <v>0</v>
      </c>
      <c r="I116" s="544"/>
      <c r="J116" s="545" t="str">
        <f>'Wrksht. F, CWIP Desc. EKC'!F96</f>
        <v>J3 REA ARC FLASH PROTECTION PROJECT</v>
      </c>
    </row>
    <row r="117" spans="1:10">
      <c r="A117" s="618">
        <f t="shared" si="8"/>
        <v>87</v>
      </c>
      <c r="B117" s="539" t="str">
        <f>'Wrksht. F, CWIP Desc. EKC'!B97</f>
        <v>1070002</v>
      </c>
      <c r="C117" s="540" t="str">
        <f>'Wrksht. F, CWIP Desc. EKC'!C97</f>
        <v>JEC0814618</v>
      </c>
      <c r="D117" s="546">
        <f>'Wrsht. G, CWIP AFUDC Cre. EKC '!I98</f>
        <v>0</v>
      </c>
      <c r="E117" s="542" t="str">
        <f>'Wrksht. F, CWIP Desc. EKC'!E97</f>
        <v>O</v>
      </c>
      <c r="F117" s="541"/>
      <c r="G117" s="546">
        <f t="shared" si="9"/>
        <v>0</v>
      </c>
      <c r="H117" s="546">
        <f t="shared" si="5"/>
        <v>0</v>
      </c>
      <c r="I117" s="544"/>
      <c r="J117" s="545" t="str">
        <f>'Wrksht. F, CWIP Desc. EKC'!F97</f>
        <v>JCOM COAL CONVEYOR CHUTE UPGRADES</v>
      </c>
    </row>
    <row r="118" spans="1:10">
      <c r="A118" s="618">
        <f t="shared" si="8"/>
        <v>88</v>
      </c>
      <c r="B118" s="539" t="str">
        <f>'Wrksht. F, CWIP Desc. EKC'!B98</f>
        <v>1070002</v>
      </c>
      <c r="C118" s="540" t="str">
        <f>'Wrksht. F, CWIP Desc. EKC'!C98</f>
        <v>JEC0818019</v>
      </c>
      <c r="D118" s="546">
        <f>'Wrsht. G, CWIP AFUDC Cre. EKC '!I99</f>
        <v>0</v>
      </c>
      <c r="E118" s="542" t="str">
        <f>'Wrksht. F, CWIP Desc. EKC'!E98</f>
        <v>O</v>
      </c>
      <c r="F118" s="541"/>
      <c r="G118" s="546">
        <f t="shared" si="9"/>
        <v>0</v>
      </c>
      <c r="H118" s="546">
        <f t="shared" si="5"/>
        <v>0</v>
      </c>
      <c r="I118" s="544"/>
      <c r="J118" s="545" t="str">
        <f>'Wrksht. F, CWIP Desc. EKC'!F98</f>
        <v>JCOM COAL CONVEYOR BELT REPLACEMENT</v>
      </c>
    </row>
    <row r="119" spans="1:10">
      <c r="A119" s="618">
        <f t="shared" si="8"/>
        <v>89</v>
      </c>
      <c r="B119" s="539" t="str">
        <f>'Wrksht. F, CWIP Desc. EKC'!B99</f>
        <v>1070002</v>
      </c>
      <c r="C119" s="540" t="str">
        <f>'Wrksht. F, CWIP Desc. EKC'!C99</f>
        <v>JEC0818640</v>
      </c>
      <c r="D119" s="546">
        <f>'Wrsht. G, CWIP AFUDC Cre. EKC '!I100</f>
        <v>0</v>
      </c>
      <c r="E119" s="542" t="str">
        <f>'Wrksht. F, CWIP Desc. EKC'!E99</f>
        <v>PC</v>
      </c>
      <c r="F119" s="541"/>
      <c r="G119" s="546">
        <f t="shared" si="9"/>
        <v>0</v>
      </c>
      <c r="H119" s="546">
        <v>0</v>
      </c>
      <c r="I119" s="544"/>
      <c r="J119" s="545" t="str">
        <f>'Wrksht. F, CWIP Desc. EKC'!F99</f>
        <v>JEC 123 FGD UPGRADE</v>
      </c>
    </row>
    <row r="120" spans="1:10">
      <c r="A120" s="618">
        <f t="shared" si="8"/>
        <v>90</v>
      </c>
      <c r="B120" s="539" t="str">
        <f>'Wrksht. F, CWIP Desc. EKC'!B100</f>
        <v>1070002</v>
      </c>
      <c r="C120" s="540" t="str">
        <f>'Wrksht. F, CWIP Desc. EKC'!C100</f>
        <v>JEC0818707</v>
      </c>
      <c r="D120" s="546">
        <f>'Wrsht. G, CWIP AFUDC Cre. EKC '!I101</f>
        <v>0</v>
      </c>
      <c r="E120" s="542" t="str">
        <f>'Wrksht. F, CWIP Desc. EKC'!E100</f>
        <v>PC</v>
      </c>
      <c r="F120" s="541"/>
      <c r="G120" s="546">
        <f t="shared" si="9"/>
        <v>0</v>
      </c>
      <c r="H120" s="546">
        <v>0</v>
      </c>
      <c r="I120" s="544"/>
      <c r="J120" s="545" t="str">
        <f>'Wrksht. F, CWIP Desc. EKC'!F100</f>
        <v>J3 ESP REBUILD PHASE 1</v>
      </c>
    </row>
    <row r="121" spans="1:10">
      <c r="A121" s="618">
        <f t="shared" si="8"/>
        <v>91</v>
      </c>
      <c r="B121" s="539" t="str">
        <f>'Wrksht. F, CWIP Desc. EKC'!B101</f>
        <v>1070002</v>
      </c>
      <c r="C121" s="540" t="str">
        <f>'Wrksht. F, CWIP Desc. EKC'!C101</f>
        <v>JEC0818835</v>
      </c>
      <c r="D121" s="546">
        <f>'Wrsht. G, CWIP AFUDC Cre. EKC '!I102</f>
        <v>0</v>
      </c>
      <c r="E121" s="542" t="str">
        <f>'Wrksht. F, CWIP Desc. EKC'!E101</f>
        <v>PC</v>
      </c>
      <c r="F121" s="541"/>
      <c r="G121" s="546">
        <f t="shared" si="9"/>
        <v>0</v>
      </c>
      <c r="H121" s="546">
        <v>0</v>
      </c>
      <c r="I121" s="544"/>
      <c r="J121" s="545" t="str">
        <f>'Wrksht. F, CWIP Desc. EKC'!F101</f>
        <v>J3 ESP REBUILD PHASE 1</v>
      </c>
    </row>
    <row r="122" spans="1:10">
      <c r="A122" s="618">
        <f t="shared" si="8"/>
        <v>92</v>
      </c>
      <c r="B122" s="539" t="str">
        <f>'Wrksht. F, CWIP Desc. EKC'!B102</f>
        <v>1070002</v>
      </c>
      <c r="C122" s="540" t="str">
        <f>'Wrksht. F, CWIP Desc. EKC'!C102</f>
        <v>JEC0819882</v>
      </c>
      <c r="D122" s="546">
        <f>'Wrsht. G, CWIP AFUDC Cre. EKC '!I103</f>
        <v>0</v>
      </c>
      <c r="E122" s="542" t="str">
        <f>'Wrksht. F, CWIP Desc. EKC'!E102</f>
        <v>PC</v>
      </c>
      <c r="F122" s="541"/>
      <c r="G122" s="546">
        <f t="shared" si="9"/>
        <v>0</v>
      </c>
      <c r="H122" s="546">
        <v>0</v>
      </c>
      <c r="I122" s="544"/>
      <c r="J122" s="545" t="str">
        <f>'Wrksht. F, CWIP Desc. EKC'!F102</f>
        <v>JEC 123 FGD UPGRADE</v>
      </c>
    </row>
    <row r="123" spans="1:10">
      <c r="A123" s="618">
        <f t="shared" si="8"/>
        <v>93</v>
      </c>
      <c r="B123" s="539" t="str">
        <f>'Wrksht. F, CWIP Desc. EKC'!B103</f>
        <v>1070002</v>
      </c>
      <c r="C123" s="540" t="str">
        <f>'Wrksht. F, CWIP Desc. EKC'!C103</f>
        <v>JEC0820631</v>
      </c>
      <c r="D123" s="546">
        <f>'Wrsht. G, CWIP AFUDC Cre. EKC '!I104</f>
        <v>0</v>
      </c>
      <c r="E123" s="542" t="str">
        <f>'Wrksht. F, CWIP Desc. EKC'!E103</f>
        <v>O</v>
      </c>
      <c r="F123" s="541"/>
      <c r="G123" s="546">
        <f t="shared" si="9"/>
        <v>0</v>
      </c>
      <c r="H123" s="546">
        <f t="shared" si="5"/>
        <v>0</v>
      </c>
      <c r="I123" s="544"/>
      <c r="J123" s="545" t="str">
        <f>'Wrksht. F, CWIP Desc. EKC'!F103</f>
        <v>ETAPRO CONTINUOUS PERFORMANCE MONITOR</v>
      </c>
    </row>
    <row r="124" spans="1:10">
      <c r="A124" s="619">
        <f t="shared" si="8"/>
        <v>94</v>
      </c>
      <c r="B124" s="539" t="str">
        <f>'Wrksht. F, CWIP Desc. EKC'!B104</f>
        <v>1070002</v>
      </c>
      <c r="C124" s="540" t="str">
        <f>'Wrksht. F, CWIP Desc. EKC'!C104</f>
        <v>A11736</v>
      </c>
      <c r="D124" s="546">
        <f>'Wrsht. G, CWIP AFUDC Cre. EKC '!I105</f>
        <v>0</v>
      </c>
      <c r="E124" s="542" t="str">
        <f>'Wrksht. F, CWIP Desc. EKC'!E104</f>
        <v>PC</v>
      </c>
      <c r="F124" s="541"/>
      <c r="G124" s="546">
        <f t="shared" si="9"/>
        <v>0</v>
      </c>
      <c r="H124" s="546">
        <v>0</v>
      </c>
      <c r="I124" s="544"/>
      <c r="J124" s="545" t="str">
        <f>'Wrksht. F, CWIP Desc. EKC'!F104</f>
        <v>JEFFREY SCRUBBERS ACCRUAL</v>
      </c>
    </row>
    <row r="125" spans="1:10">
      <c r="A125" s="618">
        <f t="shared" si="8"/>
        <v>95</v>
      </c>
      <c r="B125" s="539">
        <f>'Wrksht. F, CWIP Desc. EKC'!B105</f>
        <v>1070003</v>
      </c>
      <c r="C125" s="540" t="str">
        <f>'Wrksht. F, CWIP Desc. EKC'!C105</f>
        <v>TGO0700048</v>
      </c>
      <c r="D125" s="546">
        <f>'Wrsht. G, CWIP AFUDC Cre. EKC '!I106</f>
        <v>0</v>
      </c>
      <c r="E125" s="542" t="str">
        <f>'Wrksht. F, CWIP Desc. EKC'!E105</f>
        <v>O</v>
      </c>
      <c r="F125" s="541"/>
      <c r="G125" s="546">
        <f t="shared" ref="G125:G138" si="10">IF(H125=0,D125,0)</f>
        <v>0</v>
      </c>
      <c r="H125" s="546">
        <f t="shared" si="5"/>
        <v>0</v>
      </c>
      <c r="I125" s="544"/>
      <c r="J125" s="545" t="str">
        <f>'Wrksht. F, CWIP Desc. EKC'!F105</f>
        <v>NEW WIND TURBINES ARE NEEDED TO MEET</v>
      </c>
    </row>
    <row r="126" spans="1:10">
      <c r="A126" s="618">
        <f t="shared" si="8"/>
        <v>96</v>
      </c>
      <c r="B126" s="539">
        <f>'Wrksht. F, CWIP Desc. EKC'!B106</f>
        <v>1070003</v>
      </c>
      <c r="C126" s="540" t="str">
        <f>'Wrksht. F, CWIP Desc. EKC'!C106</f>
        <v>TGO0700049</v>
      </c>
      <c r="D126" s="546">
        <f>'Wrsht. G, CWIP AFUDC Cre. EKC '!I107</f>
        <v>0</v>
      </c>
      <c r="E126" s="542" t="str">
        <f>'Wrksht. F, CWIP Desc. EKC'!E106</f>
        <v>O</v>
      </c>
      <c r="F126" s="541"/>
      <c r="G126" s="546">
        <f t="shared" si="10"/>
        <v>0</v>
      </c>
      <c r="H126" s="546">
        <f t="shared" si="5"/>
        <v>0</v>
      </c>
      <c r="I126" s="544"/>
      <c r="J126" s="545" t="str">
        <f>'Wrksht. F, CWIP Desc. EKC'!F106</f>
        <v>NEW WIND TURBINES ARE NEEDED TO MEET</v>
      </c>
    </row>
    <row r="127" spans="1:10">
      <c r="A127" s="618">
        <f t="shared" si="8"/>
        <v>97</v>
      </c>
      <c r="B127" s="539">
        <f>'Wrksht. F, CWIP Desc. EKC'!B107</f>
        <v>1070003</v>
      </c>
      <c r="C127" s="540" t="str">
        <f>'Wrksht. F, CWIP Desc. EKC'!C107</f>
        <v>EEC0801360</v>
      </c>
      <c r="D127" s="546">
        <f>'Wrsht. G, CWIP AFUDC Cre. EKC '!I108</f>
        <v>0</v>
      </c>
      <c r="E127" s="542" t="str">
        <f>'Wrksht. F, CWIP Desc. EKC'!E107</f>
        <v>O</v>
      </c>
      <c r="F127" s="541"/>
      <c r="G127" s="546">
        <f t="shared" si="10"/>
        <v>0</v>
      </c>
      <c r="H127" s="546">
        <f t="shared" si="5"/>
        <v>0</v>
      </c>
      <c r="I127" s="544"/>
      <c r="J127" s="545" t="str">
        <f>'Wrksht. F, CWIP Desc. EKC'!F107</f>
        <v>AEC MISC TOOLS AND SMALL PROJECTS</v>
      </c>
    </row>
    <row r="128" spans="1:10">
      <c r="A128" s="618">
        <f t="shared" si="8"/>
        <v>98</v>
      </c>
      <c r="B128" s="539">
        <f>'Wrksht. F, CWIP Desc. EKC'!B108</f>
        <v>1070003</v>
      </c>
      <c r="C128" s="540" t="str">
        <f>'Wrksht. F, CWIP Desc. EKC'!C108</f>
        <v>S805706</v>
      </c>
      <c r="D128" s="546">
        <f>'Wrsht. G, CWIP AFUDC Cre. EKC '!I109</f>
        <v>0</v>
      </c>
      <c r="E128" s="542" t="str">
        <f>'Wrksht. F, CWIP Desc. EKC'!E108</f>
        <v>O</v>
      </c>
      <c r="F128" s="541"/>
      <c r="G128" s="546">
        <f t="shared" si="10"/>
        <v>0</v>
      </c>
      <c r="H128" s="546">
        <f t="shared" si="5"/>
        <v>0</v>
      </c>
      <c r="I128" s="544"/>
      <c r="J128" s="545" t="str">
        <f>'Wrksht. F, CWIP Desc. EKC'!F108</f>
        <v>EMPORIA ENERGY CENTER UNIT 3 EQUIPMENT</v>
      </c>
    </row>
    <row r="129" spans="1:10" ht="26.4">
      <c r="A129" s="618">
        <f t="shared" si="8"/>
        <v>99</v>
      </c>
      <c r="B129" s="539">
        <f>'Wrksht. F, CWIP Desc. EKC'!B109</f>
        <v>1070003</v>
      </c>
      <c r="C129" s="540" t="str">
        <f>'Wrksht. F, CWIP Desc. EKC'!C109</f>
        <v>TGO0600049</v>
      </c>
      <c r="D129" s="546">
        <f>'Wrsht. G, CWIP AFUDC Cre. EKC '!I110</f>
        <v>0</v>
      </c>
      <c r="E129" s="542" t="str">
        <f>'Wrksht. F, CWIP Desc. EKC'!E109</f>
        <v>O</v>
      </c>
      <c r="F129" s="541"/>
      <c r="G129" s="546">
        <f t="shared" si="10"/>
        <v>0</v>
      </c>
      <c r="H129" s="546">
        <f t="shared" si="5"/>
        <v>0</v>
      </c>
      <c r="I129" s="544"/>
      <c r="J129" s="545" t="str">
        <f>'Wrksht. F, CWIP Desc. EKC'!F109</f>
        <v>ENGINEERING SERVICES, LAND PURCHASE, AND PERMITTING FOR NEW COMBUSTION TURBINES</v>
      </c>
    </row>
    <row r="130" spans="1:10" ht="26.4">
      <c r="A130" s="618">
        <f t="shared" si="8"/>
        <v>100</v>
      </c>
      <c r="B130" s="539">
        <f>'Wrksht. F, CWIP Desc. EKC'!B110</f>
        <v>1070003</v>
      </c>
      <c r="C130" s="540" t="str">
        <f>'Wrksht. F, CWIP Desc. EKC'!C110</f>
        <v>TGO0600058</v>
      </c>
      <c r="D130" s="546">
        <f>'Wrsht. G, CWIP AFUDC Cre. EKC '!I111</f>
        <v>0</v>
      </c>
      <c r="E130" s="542" t="str">
        <f>'Wrksht. F, CWIP Desc. EKC'!E110</f>
        <v>O</v>
      </c>
      <c r="F130" s="541"/>
      <c r="G130" s="546">
        <f t="shared" si="10"/>
        <v>0</v>
      </c>
      <c r="H130" s="546">
        <f t="shared" si="5"/>
        <v>0</v>
      </c>
      <c r="I130" s="544"/>
      <c r="J130" s="545" t="str">
        <f>'Wrksht. F, CWIP Desc. EKC'!F110</f>
        <v>EMPORIA ENERGY CENTER UNIT 5 FRAME COMBUSTION TURBINE</v>
      </c>
    </row>
    <row r="131" spans="1:10">
      <c r="A131" s="618">
        <f t="shared" si="8"/>
        <v>101</v>
      </c>
      <c r="B131" s="539">
        <f>'Wrksht. F, CWIP Desc. EKC'!B111</f>
        <v>1070003</v>
      </c>
      <c r="C131" s="540" t="str">
        <f>'Wrksht. F, CWIP Desc. EKC'!C111</f>
        <v>TGO0600059</v>
      </c>
      <c r="D131" s="546">
        <f>'Wrsht. G, CWIP AFUDC Cre. EKC '!I112</f>
        <v>0</v>
      </c>
      <c r="E131" s="542" t="str">
        <f>'Wrksht. F, CWIP Desc. EKC'!E111</f>
        <v>O</v>
      </c>
      <c r="F131" s="541"/>
      <c r="G131" s="546">
        <f t="shared" si="10"/>
        <v>0</v>
      </c>
      <c r="H131" s="546">
        <f t="shared" si="5"/>
        <v>0</v>
      </c>
      <c r="I131" s="544"/>
      <c r="J131" s="545" t="str">
        <f>'Wrksht. F, CWIP Desc. EKC'!F111</f>
        <v>CONSTRUCTION COSTS FOR EMPORIA CT</v>
      </c>
    </row>
    <row r="132" spans="1:10">
      <c r="A132" s="618">
        <f t="shared" si="8"/>
        <v>102</v>
      </c>
      <c r="B132" s="539">
        <f>'Wrksht. F, CWIP Desc. EKC'!B112</f>
        <v>1070003</v>
      </c>
      <c r="C132" s="540" t="str">
        <f>'Wrksht. F, CWIP Desc. EKC'!C112</f>
        <v>TGO0600060</v>
      </c>
      <c r="D132" s="546">
        <f>'Wrsht. G, CWIP AFUDC Cre. EKC '!I113</f>
        <v>0</v>
      </c>
      <c r="E132" s="542" t="str">
        <f>'Wrksht. F, CWIP Desc. EKC'!E112</f>
        <v>O</v>
      </c>
      <c r="F132" s="541"/>
      <c r="G132" s="546">
        <f t="shared" si="10"/>
        <v>0</v>
      </c>
      <c r="H132" s="546">
        <f t="shared" si="5"/>
        <v>0</v>
      </c>
      <c r="I132" s="544"/>
      <c r="J132" s="545" t="str">
        <f>'Wrksht. F, CWIP Desc. EKC'!F112</f>
        <v>CONSTRUCTION COSTS FOR EMPORIA CT</v>
      </c>
    </row>
    <row r="133" spans="1:10" ht="13.95" customHeight="1">
      <c r="A133" s="618">
        <f t="shared" si="8"/>
        <v>103</v>
      </c>
      <c r="B133" s="539">
        <f>'Wrksht. F, CWIP Desc. EKC'!B113</f>
        <v>1070003</v>
      </c>
      <c r="C133" s="540" t="str">
        <f>'Wrksht. F, CWIP Desc. EKC'!C113</f>
        <v>TGO0600062</v>
      </c>
      <c r="D133" s="546">
        <f>'Wrsht. G, CWIP AFUDC Cre. EKC '!I114</f>
        <v>0</v>
      </c>
      <c r="E133" s="542" t="str">
        <f>'Wrksht. F, CWIP Desc. EKC'!E113</f>
        <v>O</v>
      </c>
      <c r="F133" s="541"/>
      <c r="G133" s="546">
        <f t="shared" si="10"/>
        <v>0</v>
      </c>
      <c r="H133" s="546">
        <f t="shared" si="5"/>
        <v>0</v>
      </c>
      <c r="I133" s="544"/>
      <c r="J133" s="545" t="str">
        <f>'Wrksht. F, CWIP Desc. EKC'!F113</f>
        <v>CONSTRUCTION COSTS FOR EMPORIA ENERGY CENTER</v>
      </c>
    </row>
    <row r="134" spans="1:10">
      <c r="A134" s="618">
        <f t="shared" si="8"/>
        <v>104</v>
      </c>
      <c r="B134" s="539">
        <f>'Wrksht. F, CWIP Desc. EKC'!B114</f>
        <v>1070003</v>
      </c>
      <c r="C134" s="540" t="str">
        <f>'Wrksht. F, CWIP Desc. EKC'!C114</f>
        <v>TGO0800057</v>
      </c>
      <c r="D134" s="546">
        <f>'Wrsht. G, CWIP AFUDC Cre. EKC '!I115</f>
        <v>0</v>
      </c>
      <c r="E134" s="542" t="str">
        <f>'Wrksht. F, CWIP Desc. EKC'!E114</f>
        <v>O</v>
      </c>
      <c r="F134" s="541"/>
      <c r="G134" s="546">
        <f t="shared" si="10"/>
        <v>0</v>
      </c>
      <c r="H134" s="546">
        <f t="shared" si="5"/>
        <v>0</v>
      </c>
      <c r="I134" s="544"/>
      <c r="J134" s="545" t="str">
        <f>'Wrksht. F, CWIP Desc. EKC'!F114</f>
        <v>COMMON EQUIPMENT FOR EMPORIA ENERGY CENTER</v>
      </c>
    </row>
    <row r="135" spans="1:10">
      <c r="A135" s="618">
        <f t="shared" si="8"/>
        <v>105</v>
      </c>
      <c r="B135" s="539">
        <f>'Wrksht. F, CWIP Desc. EKC'!B115</f>
        <v>1070003</v>
      </c>
      <c r="C135" s="540" t="str">
        <f>'Wrksht. F, CWIP Desc. EKC'!C115</f>
        <v>EEC0800297</v>
      </c>
      <c r="D135" s="546">
        <f>'Wrsht. G, CWIP AFUDC Cre. EKC '!I116</f>
        <v>0</v>
      </c>
      <c r="E135" s="542" t="str">
        <f>'Wrksht. F, CWIP Desc. EKC'!E115</f>
        <v>O</v>
      </c>
      <c r="F135" s="541"/>
      <c r="G135" s="546">
        <f t="shared" si="10"/>
        <v>0</v>
      </c>
      <c r="H135" s="546">
        <f t="shared" si="5"/>
        <v>0</v>
      </c>
      <c r="I135" s="544"/>
      <c r="J135" s="545" t="str">
        <f>'Wrksht. F, CWIP Desc. EKC'!F115</f>
        <v>SPRING CREEK - SOUTH PLANT MISC TOOLS</v>
      </c>
    </row>
    <row r="136" spans="1:10">
      <c r="A136" s="618">
        <f t="shared" si="8"/>
        <v>106</v>
      </c>
      <c r="B136" s="539">
        <f>'Wrksht. F, CWIP Desc. EKC'!B116</f>
        <v>1070003</v>
      </c>
      <c r="C136" s="540" t="str">
        <f>'Wrksht. F, CWIP Desc. EKC'!C116</f>
        <v>A11735</v>
      </c>
      <c r="D136" s="546">
        <f>'Wrsht. G, CWIP AFUDC Cre. EKC '!I117</f>
        <v>0</v>
      </c>
      <c r="E136" s="542" t="str">
        <f>'Wrksht. F, CWIP Desc. EKC'!E116</f>
        <v>O</v>
      </c>
      <c r="F136" s="541"/>
      <c r="G136" s="546">
        <f t="shared" si="10"/>
        <v>0</v>
      </c>
      <c r="H136" s="546">
        <f t="shared" si="5"/>
        <v>0</v>
      </c>
      <c r="I136" s="544"/>
      <c r="J136" s="545" t="str">
        <f>'Wrksht. F, CWIP Desc. EKC'!F116</f>
        <v>EMPORIA ENERGY CENTER ACCRUAL</v>
      </c>
    </row>
    <row r="137" spans="1:10">
      <c r="A137" s="618">
        <f t="shared" si="8"/>
        <v>107</v>
      </c>
      <c r="B137" s="539">
        <f>'Wrksht. F, CWIP Desc. EKC'!B117</f>
        <v>1070003</v>
      </c>
      <c r="C137" s="540" t="str">
        <f>'Wrksht. F, CWIP Desc. EKC'!C117</f>
        <v>A23702</v>
      </c>
      <c r="D137" s="546">
        <f>'Wrsht. G, CWIP AFUDC Cre. EKC '!I118</f>
        <v>0</v>
      </c>
      <c r="E137" s="542" t="str">
        <f>'Wrksht. F, CWIP Desc. EKC'!E117</f>
        <v>O</v>
      </c>
      <c r="F137" s="541"/>
      <c r="G137" s="546">
        <f t="shared" si="10"/>
        <v>0</v>
      </c>
      <c r="H137" s="546">
        <f t="shared" si="5"/>
        <v>0</v>
      </c>
      <c r="I137" s="544"/>
      <c r="J137" s="545" t="str">
        <f>'Wrksht. F, CWIP Desc. EKC'!F117</f>
        <v>WIND TURBINES ACCOUNTING ACCRUAL</v>
      </c>
    </row>
    <row r="138" spans="1:10">
      <c r="A138" s="618">
        <f t="shared" si="8"/>
        <v>108</v>
      </c>
      <c r="B138" s="539">
        <f>'Wrksht. F, CWIP Desc. EKC'!B118</f>
        <v>1070003</v>
      </c>
      <c r="C138" s="540" t="str">
        <f>'Wrksht. F, CWIP Desc. EKC'!C118</f>
        <v>A23703</v>
      </c>
      <c r="D138" s="546">
        <f>'Wrsht. G, CWIP AFUDC Cre. EKC '!I119</f>
        <v>0</v>
      </c>
      <c r="E138" s="542" t="str">
        <f>'Wrksht. F, CWIP Desc. EKC'!E118</f>
        <v>O</v>
      </c>
      <c r="F138" s="541"/>
      <c r="G138" s="546">
        <f t="shared" si="10"/>
        <v>0</v>
      </c>
      <c r="H138" s="546">
        <f t="shared" si="5"/>
        <v>0</v>
      </c>
      <c r="I138" s="544"/>
      <c r="J138" s="545" t="str">
        <f>'Wrksht. F, CWIP Desc. EKC'!F118</f>
        <v>WIND TURBINES ACCOUNTING ACCRUAL</v>
      </c>
    </row>
    <row r="139" spans="1:10">
      <c r="A139" s="619">
        <f t="shared" ref="A139:A144" si="11">A138+1</f>
        <v>109</v>
      </c>
      <c r="B139" s="539">
        <f>'Wrksht. F, CWIP Desc. EKC'!B119</f>
        <v>1070002</v>
      </c>
      <c r="C139" s="540" t="str">
        <f>'Wrksht. F, CWIP Desc. EKC'!C119</f>
        <v>LEC01807601</v>
      </c>
      <c r="D139" s="546">
        <f>'Wrsht. G, CWIP AFUDC Cre. EKC '!I120</f>
        <v>0</v>
      </c>
      <c r="E139" s="542" t="str">
        <f>'Wrksht. F, CWIP Desc. EKC'!E119</f>
        <v>PC</v>
      </c>
      <c r="F139" s="541"/>
      <c r="G139" s="546">
        <f t="shared" ref="G139:G145" si="12">IF(H139=0,D139,0)</f>
        <v>0</v>
      </c>
      <c r="H139" s="546">
        <v>0</v>
      </c>
      <c r="I139" s="544"/>
      <c r="J139" s="545" t="str">
        <f>'Wrksht. F, CWIP Desc. EKC'!F119</f>
        <v>L5 BAGHOUSE AND SCRUBBER UPGRADES</v>
      </c>
    </row>
    <row r="140" spans="1:10" ht="26.4">
      <c r="A140" s="619">
        <f t="shared" si="11"/>
        <v>110</v>
      </c>
      <c r="B140" s="539">
        <f>'Wrksht. F, CWIP Desc. EKC'!B120</f>
        <v>1070002</v>
      </c>
      <c r="C140" s="540" t="str">
        <f>'Wrksht. F, CWIP Desc. EKC'!C120</f>
        <v>LEC01807602</v>
      </c>
      <c r="D140" s="546">
        <f>'Wrsht. G, CWIP AFUDC Cre. EKC '!I121</f>
        <v>0</v>
      </c>
      <c r="E140" s="542" t="str">
        <f>'Wrksht. F, CWIP Desc. EKC'!E120</f>
        <v>PC</v>
      </c>
      <c r="F140" s="541"/>
      <c r="G140" s="546">
        <f t="shared" si="12"/>
        <v>0</v>
      </c>
      <c r="H140" s="546">
        <v>0</v>
      </c>
      <c r="I140" s="544"/>
      <c r="J140" s="545" t="str">
        <f>'Wrksht. F, CWIP Desc. EKC'!F120</f>
        <v>THE CONSENT DECREE REQUIRES L4 BAGHOUSE AND SCRUBBER UPGRADES.</v>
      </c>
    </row>
    <row r="141" spans="1:10" ht="26.4">
      <c r="A141" s="619">
        <f t="shared" si="11"/>
        <v>111</v>
      </c>
      <c r="B141" s="539">
        <f>'Wrksht. F, CWIP Desc. EKC'!B121</f>
        <v>1070002</v>
      </c>
      <c r="C141" s="540" t="str">
        <f>'Wrksht. F, CWIP Desc. EKC'!C121</f>
        <v>LEC01807603</v>
      </c>
      <c r="D141" s="546">
        <f>'Wrsht. G, CWIP AFUDC Cre. EKC '!I122</f>
        <v>0</v>
      </c>
      <c r="E141" s="542" t="str">
        <f>'Wrksht. F, CWIP Desc. EKC'!E121</f>
        <v>PC</v>
      </c>
      <c r="F141" s="541"/>
      <c r="G141" s="546">
        <f t="shared" si="12"/>
        <v>0</v>
      </c>
      <c r="H141" s="546">
        <v>0</v>
      </c>
      <c r="I141" s="544"/>
      <c r="J141" s="545" t="str">
        <f>'Wrksht. F, CWIP Desc. EKC'!F121</f>
        <v>THE CONSENT DECREE REQUIRES  LEC COMMON BAGHOUSE &amp; SCRUBBER UPGRADES.</v>
      </c>
    </row>
    <row r="142" spans="1:10">
      <c r="A142" s="619">
        <f>A141+1</f>
        <v>112</v>
      </c>
      <c r="B142" s="539">
        <f>'Wrksht. F, CWIP Desc. EKC'!B122</f>
        <v>1070002</v>
      </c>
      <c r="C142" s="540" t="str">
        <f>'Wrksht. F, CWIP Desc. EKC'!C122</f>
        <v>TEC01861002</v>
      </c>
      <c r="D142" s="546">
        <f>'Wrsht. G, CWIP AFUDC Cre. EKC '!I123</f>
        <v>0</v>
      </c>
      <c r="E142" s="542" t="str">
        <f>'Wrksht. F, CWIP Desc. EKC'!E122</f>
        <v>O</v>
      </c>
      <c r="F142" s="541"/>
      <c r="G142" s="546">
        <f t="shared" si="12"/>
        <v>0</v>
      </c>
      <c r="H142" s="546">
        <f>D142*0.5</f>
        <v>0</v>
      </c>
      <c r="I142" s="544"/>
      <c r="J142" s="545" t="str">
        <f>'Wrksht. F, CWIP Desc. EKC'!F122</f>
        <v>BI 018610--T7 REPLACE CIRCULATING WATER LINES</v>
      </c>
    </row>
    <row r="143" spans="1:10">
      <c r="A143" s="619">
        <f>A142+1</f>
        <v>113</v>
      </c>
      <c r="B143" s="539">
        <f>'Wrksht. F, CWIP Desc. EKC'!B123</f>
        <v>1070002</v>
      </c>
      <c r="C143" s="540" t="str">
        <f>'Wrksht. F, CWIP Desc. EKC'!C123</f>
        <v>JEC01802402</v>
      </c>
      <c r="D143" s="546">
        <f>'Wrsht. G, CWIP AFUDC Cre. EKC '!I124</f>
        <v>0</v>
      </c>
      <c r="E143" s="542" t="str">
        <f>'Wrksht. F, CWIP Desc. EKC'!E123</f>
        <v>O</v>
      </c>
      <c r="F143" s="541"/>
      <c r="G143" s="546">
        <f t="shared" si="12"/>
        <v>0</v>
      </c>
      <c r="H143" s="546">
        <f>D143*0.5</f>
        <v>0</v>
      </c>
      <c r="I143" s="544"/>
      <c r="J143" s="545" t="str">
        <f>'Wrksht. F, CWIP Desc. EKC'!F123</f>
        <v>JEC WATER SUPPLY UPGRADES</v>
      </c>
    </row>
    <row r="144" spans="1:10">
      <c r="A144" s="619">
        <f t="shared" si="11"/>
        <v>114</v>
      </c>
      <c r="B144" s="539">
        <f>'Wrksht. F, CWIP Desc. EKC'!B124</f>
        <v>1070002</v>
      </c>
      <c r="C144" s="540" t="str">
        <f>'Wrksht. F, CWIP Desc. EKC'!C124</f>
        <v>JEC01805401</v>
      </c>
      <c r="D144" s="546">
        <f>'Wrsht. G, CWIP AFUDC Cre. EKC '!I125</f>
        <v>0</v>
      </c>
      <c r="E144" s="542" t="str">
        <f>'Wrksht. F, CWIP Desc. EKC'!E124</f>
        <v>PC</v>
      </c>
      <c r="F144" s="541"/>
      <c r="G144" s="546">
        <f t="shared" si="12"/>
        <v>0</v>
      </c>
      <c r="H144" s="546">
        <v>0</v>
      </c>
      <c r="I144" s="544"/>
      <c r="J144" s="545" t="str">
        <f>'Wrksht. F, CWIP Desc. EKC'!F124</f>
        <v>PHASE 1 J2 ESP REBUILD</v>
      </c>
    </row>
    <row r="145" spans="1:10">
      <c r="A145" s="619">
        <f t="shared" ref="A145:A209" si="13">A144+1</f>
        <v>115</v>
      </c>
      <c r="B145" s="547">
        <f>'Wrksht. F, CWIP Desc. EKC'!B125</f>
        <v>1070002</v>
      </c>
      <c r="C145" s="540" t="str">
        <f>'Wrksht. F, CWIP Desc. EKC'!C125</f>
        <v>JEC01806001</v>
      </c>
      <c r="D145" s="546">
        <f>'Wrsht. G, CWIP AFUDC Cre. EKC '!I126</f>
        <v>0</v>
      </c>
      <c r="E145" s="542" t="str">
        <f>'Wrksht. F, CWIP Desc. EKC'!E125</f>
        <v>PC</v>
      </c>
      <c r="F145" s="541"/>
      <c r="G145" s="546">
        <f t="shared" si="12"/>
        <v>0</v>
      </c>
      <c r="H145" s="546">
        <v>0</v>
      </c>
      <c r="I145" s="544"/>
      <c r="J145" s="545" t="str">
        <f>'Wrksht. F, CWIP Desc. EKC'!F125</f>
        <v>J2 LOW NOX AND SOFA UPGRADE PHASE 1</v>
      </c>
    </row>
    <row r="146" spans="1:10" ht="26.4">
      <c r="A146" s="757">
        <f t="shared" si="13"/>
        <v>116</v>
      </c>
      <c r="B146" s="547" t="str">
        <f>'Wrksht. F, CWIP Desc. EKC'!B126</f>
        <v>1070002</v>
      </c>
      <c r="C146" s="540" t="str">
        <f>'Wrksht. F, CWIP Desc. EKC'!C126</f>
        <v>LEC011005101</v>
      </c>
      <c r="D146" s="546">
        <f>'Wrsht. G, CWIP AFUDC Cre. EKC '!I127</f>
        <v>0</v>
      </c>
      <c r="E146" s="542" t="str">
        <f>'Wrksht. F, CWIP Desc. EKC'!E126</f>
        <v>PC</v>
      </c>
      <c r="F146" s="541"/>
      <c r="G146" s="546">
        <f t="shared" ref="G146:G156" si="14">IF(H146=0,D146,0)</f>
        <v>0</v>
      </c>
      <c r="H146" s="546">
        <v>0</v>
      </c>
      <c r="I146" s="544"/>
      <c r="J146" s="545" t="str">
        <f>'Wrksht. F, CWIP Desc. EKC'!F126</f>
        <v xml:space="preserve">LEC L5 LOW NOX BURNER RETROFIT 2010 WO
</v>
      </c>
    </row>
    <row r="147" spans="1:10" ht="13.2" customHeight="1">
      <c r="A147" s="757">
        <f t="shared" si="13"/>
        <v>117</v>
      </c>
      <c r="B147" s="547" t="str">
        <f>'Wrksht. F, CWIP Desc. EKC'!B127</f>
        <v>1070002</v>
      </c>
      <c r="C147" s="540" t="str">
        <f>'Wrksht. F, CWIP Desc. EKC'!C127</f>
        <v>JEC011005801</v>
      </c>
      <c r="D147" s="546">
        <f>'Wrsht. G, CWIP AFUDC Cre. EKC '!I128</f>
        <v>0</v>
      </c>
      <c r="E147" s="542" t="str">
        <f>'Wrksht. F, CWIP Desc. EKC'!E127</f>
        <v>PC</v>
      </c>
      <c r="F147" s="541"/>
      <c r="G147" s="546">
        <f t="shared" si="14"/>
        <v>0</v>
      </c>
      <c r="H147" s="546">
        <v>0</v>
      </c>
      <c r="I147" s="544"/>
      <c r="J147" s="545" t="str">
        <f>'Wrksht. F, CWIP Desc. EKC'!F127</f>
        <v>JCOM SCRUBBER EFFLUENT.</v>
      </c>
    </row>
    <row r="148" spans="1:10" ht="13.2" customHeight="1">
      <c r="A148" s="757">
        <f t="shared" si="13"/>
        <v>118</v>
      </c>
      <c r="B148" s="547">
        <f>'Wrksht. F, CWIP Desc. EKC'!B128</f>
        <v>1070002</v>
      </c>
      <c r="C148" s="540" t="str">
        <f>'Wrksht. F, CWIP Desc. EKC'!C128</f>
        <v>TEC011061001</v>
      </c>
      <c r="D148" s="546">
        <f>'Wrsht. G, CWIP AFUDC Cre. EKC '!I129</f>
        <v>0</v>
      </c>
      <c r="E148" s="542" t="str">
        <f>'Wrksht. F, CWIP Desc. EKC'!E128</f>
        <v>O</v>
      </c>
      <c r="F148" s="541"/>
      <c r="G148" s="546">
        <f>IF(H148=0,D148,0)</f>
        <v>0</v>
      </c>
      <c r="H148" s="546">
        <f t="shared" ref="H148:H156" si="15">D148*0.5</f>
        <v>0</v>
      </c>
      <c r="I148" s="544"/>
      <c r="J148" s="545" t="str">
        <f>'Wrksht. F, CWIP Desc. EKC'!F128</f>
        <v>BI# 0110610:  T7 4160 SWITCHGEAR UPGRADE</v>
      </c>
    </row>
    <row r="149" spans="1:10" ht="13.2" customHeight="1">
      <c r="A149" s="757">
        <f t="shared" si="13"/>
        <v>119</v>
      </c>
      <c r="B149" s="547">
        <f>'Wrksht. F, CWIP Desc. EKC'!B129</f>
        <v>1070002</v>
      </c>
      <c r="C149" s="540" t="str">
        <f>'Wrksht. F, CWIP Desc. EKC'!C129</f>
        <v>LEC011005001</v>
      </c>
      <c r="D149" s="546">
        <f>'Wrsht. G, CWIP AFUDC Cre. EKC '!I130</f>
        <v>0</v>
      </c>
      <c r="E149" s="542" t="str">
        <f>'Wrksht. F, CWIP Desc. EKC'!E129</f>
        <v>PC</v>
      </c>
      <c r="F149" s="541"/>
      <c r="G149" s="546">
        <f>IF(H149=0,D149,0)</f>
        <v>0</v>
      </c>
      <c r="H149" s="546">
        <v>0</v>
      </c>
      <c r="I149" s="544"/>
      <c r="J149" s="545" t="str">
        <f>'Wrksht. F, CWIP Desc. EKC'!F129</f>
        <v>LEC L4 LOW NOX BURNER RETROFIT 2012</v>
      </c>
    </row>
    <row r="150" spans="1:10" ht="13.2" customHeight="1">
      <c r="A150" s="619">
        <f>A149+1</f>
        <v>120</v>
      </c>
      <c r="B150" s="539" t="str">
        <f>'Wrksht. F, CWIP Desc. EKC'!B130</f>
        <v>1070002</v>
      </c>
      <c r="C150" s="540" t="str">
        <f>'Wrksht. F, CWIP Desc. EKC'!C130</f>
        <v>LEC011043501</v>
      </c>
      <c r="D150" s="546">
        <f>'Wrsht. G, CWIP AFUDC Cre. EKC '!I131</f>
        <v>0</v>
      </c>
      <c r="E150" s="542" t="str">
        <f>'Wrksht. F, CWIP Desc. EKC'!E130</f>
        <v>O</v>
      </c>
      <c r="F150" s="541"/>
      <c r="G150" s="546">
        <f t="shared" si="14"/>
        <v>0</v>
      </c>
      <c r="H150" s="546">
        <f t="shared" si="15"/>
        <v>0</v>
      </c>
      <c r="I150" s="544"/>
      <c r="J150" s="545" t="str">
        <f>'Wrksht. F, CWIP Desc. EKC'!F130</f>
        <v>0110435 - L5 GSU REPLACEMENT 2012 W</v>
      </c>
    </row>
    <row r="151" spans="1:10" ht="13.2" customHeight="1">
      <c r="A151" s="619">
        <f>A150+1</f>
        <v>121</v>
      </c>
      <c r="B151" s="539">
        <f>'Wrksht. F, CWIP Desc. EKC'!B131</f>
        <v>1070002</v>
      </c>
      <c r="C151" s="540" t="str">
        <f>'Wrksht. F, CWIP Desc. EKC'!C131</f>
        <v>LEC01807604</v>
      </c>
      <c r="D151" s="546">
        <f>'Wrsht. G, CWIP AFUDC Cre. EKC '!I132</f>
        <v>0</v>
      </c>
      <c r="E151" s="542" t="str">
        <f>'Wrksht. F, CWIP Desc. EKC'!E131</f>
        <v>PC</v>
      </c>
      <c r="F151" s="541"/>
      <c r="G151" s="546">
        <f>IF(H151=0,D151,0)</f>
        <v>0</v>
      </c>
      <c r="H151" s="546">
        <v>0</v>
      </c>
      <c r="I151" s="544"/>
      <c r="J151" s="545" t="str">
        <f>'Wrksht. F, CWIP Desc. EKC'!F131</f>
        <v>THE L3 FLY ASH HANDLING SYSTEM WILL</v>
      </c>
    </row>
    <row r="152" spans="1:10" ht="13.2" customHeight="1">
      <c r="A152" s="619">
        <f>A151+1</f>
        <v>122</v>
      </c>
      <c r="B152" s="539">
        <f>'Wrksht. F, CWIP Desc. EKC'!B132</f>
        <v>1070003</v>
      </c>
      <c r="C152" s="540" t="str">
        <f>'Wrksht. F, CWIP Desc. EKC'!C132</f>
        <v>EEC011188101</v>
      </c>
      <c r="D152" s="546">
        <f>'Wrsht. G, CWIP AFUDC Cre. EKC '!I133</f>
        <v>0</v>
      </c>
      <c r="E152" s="542" t="str">
        <f>'Wrksht. F, CWIP Desc. EKC'!E132</f>
        <v>O</v>
      </c>
      <c r="F152" s="541"/>
      <c r="G152" s="546">
        <f t="shared" si="14"/>
        <v>0</v>
      </c>
      <c r="H152" s="546">
        <f t="shared" si="15"/>
        <v>0</v>
      </c>
      <c r="I152" s="544"/>
      <c r="J152" s="545" t="str">
        <f>'Wrksht. F, CWIP Desc. EKC'!F132</f>
        <v>EMPORIA 5 FUEL NOZZLE REP</v>
      </c>
    </row>
    <row r="153" spans="1:10" ht="13.2" customHeight="1">
      <c r="A153" s="619">
        <f t="shared" si="13"/>
        <v>123</v>
      </c>
      <c r="B153" s="539">
        <f>'Wrksht. F, CWIP Desc. EKC'!B133</f>
        <v>1070002</v>
      </c>
      <c r="C153" s="540" t="str">
        <f>'Wrksht. F, CWIP Desc. EKC'!C133</f>
        <v>JEC011005901</v>
      </c>
      <c r="D153" s="546">
        <f>'Wrsht. G, CWIP AFUDC Cre. EKC '!I134</f>
        <v>0</v>
      </c>
      <c r="E153" s="542" t="str">
        <f>'Wrksht. F, CWIP Desc. EKC'!E133</f>
        <v>PC</v>
      </c>
      <c r="F153" s="541"/>
      <c r="G153" s="546">
        <f>IF(H153=0,D153,0)</f>
        <v>0</v>
      </c>
      <c r="H153" s="546">
        <v>0</v>
      </c>
      <c r="I153" s="544"/>
      <c r="J153" s="545" t="str">
        <f>'Wrksht. F, CWIP Desc. EKC'!F133</f>
        <v>THE CONSENT DECREE ESTABLISHES THE</v>
      </c>
    </row>
    <row r="154" spans="1:10" ht="13.2" customHeight="1">
      <c r="A154" s="619">
        <f>A153+1</f>
        <v>124</v>
      </c>
      <c r="B154" s="539" t="str">
        <f>'Wrksht. F, CWIP Desc. EKC'!B134</f>
        <v>1070002</v>
      </c>
      <c r="C154" s="540" t="str">
        <f>'Wrksht. F, CWIP Desc. EKC'!C134</f>
        <v>JEC011105501</v>
      </c>
      <c r="D154" s="546">
        <f>'Wrsht. G, CWIP AFUDC Cre. EKC '!I135</f>
        <v>0</v>
      </c>
      <c r="E154" s="542" t="str">
        <f>'Wrksht. F, CWIP Desc. EKC'!E134</f>
        <v>PC</v>
      </c>
      <c r="F154" s="541"/>
      <c r="G154" s="546">
        <f t="shared" si="14"/>
        <v>0</v>
      </c>
      <c r="H154" s="546">
        <v>0</v>
      </c>
      <c r="I154" s="544"/>
      <c r="J154" s="545" t="str">
        <f>'Wrksht. F, CWIP Desc. EKC'!F134</f>
        <v>J1 NEURAL NETWORK INST</v>
      </c>
    </row>
    <row r="155" spans="1:10" ht="13.2" customHeight="1">
      <c r="A155" s="619">
        <f t="shared" si="13"/>
        <v>125</v>
      </c>
      <c r="B155" s="539" t="str">
        <f>'Wrksht. F, CWIP Desc. EKC'!B135</f>
        <v>1070002</v>
      </c>
      <c r="C155" s="540" t="str">
        <f>'Wrksht. F, CWIP Desc. EKC'!C135</f>
        <v>JEC011105801</v>
      </c>
      <c r="D155" s="546">
        <f>'Wrsht. G, CWIP AFUDC Cre. EKC '!I136</f>
        <v>0</v>
      </c>
      <c r="E155" s="542" t="str">
        <f>'Wrksht. F, CWIP Desc. EKC'!E135</f>
        <v>PC</v>
      </c>
      <c r="F155" s="541"/>
      <c r="G155" s="546">
        <f t="shared" si="14"/>
        <v>0</v>
      </c>
      <c r="H155" s="546">
        <v>0</v>
      </c>
      <c r="I155" s="544"/>
      <c r="J155" s="545" t="str">
        <f>'Wrksht. F, CWIP Desc. EKC'!F135</f>
        <v>BI #0111058 - J3 SMARTBURN AND SNCR</v>
      </c>
    </row>
    <row r="156" spans="1:10" ht="13.2" customHeight="1">
      <c r="A156" s="619">
        <f t="shared" si="13"/>
        <v>126</v>
      </c>
      <c r="B156" s="539" t="str">
        <f>'Wrksht. F, CWIP Desc. EKC'!B136</f>
        <v>1070002</v>
      </c>
      <c r="C156" s="540" t="str">
        <f>'Wrksht. F, CWIP Desc. EKC'!C136</f>
        <v>JEC011116301</v>
      </c>
      <c r="D156" s="546">
        <f>'Wrsht. G, CWIP AFUDC Cre. EKC '!I137</f>
        <v>0</v>
      </c>
      <c r="E156" s="548" t="str">
        <f>'Wrksht. F, CWIP Desc. EKC'!E136</f>
        <v>O</v>
      </c>
      <c r="F156" s="546"/>
      <c r="G156" s="546">
        <f t="shared" si="14"/>
        <v>0</v>
      </c>
      <c r="H156" s="546">
        <f t="shared" si="15"/>
        <v>0</v>
      </c>
      <c r="I156" s="544"/>
      <c r="J156" s="545" t="str">
        <f>'Wrksht. F, CWIP Desc. EKC'!F136</f>
        <v>FOR THE INSTALLATION OF COAL PIPING</v>
      </c>
    </row>
    <row r="157" spans="1:10" ht="13.2" customHeight="1">
      <c r="A157" s="619">
        <f t="shared" si="13"/>
        <v>127</v>
      </c>
      <c r="B157" s="539" t="str">
        <f>'Wrksht. F, CWIP Desc. EKC'!B137</f>
        <v>1070002</v>
      </c>
      <c r="C157" s="540" t="str">
        <f>'Wrksht. F, CWIP Desc. EKC'!C137</f>
        <v>LEC011042901</v>
      </c>
      <c r="D157" s="546">
        <f>'Wrsht. G, CWIP AFUDC Cre. EKC '!I138</f>
        <v>0</v>
      </c>
      <c r="E157" s="548" t="str">
        <f>'Wrksht. F, CWIP Desc. EKC'!E137</f>
        <v>PC</v>
      </c>
      <c r="F157" s="546"/>
      <c r="G157" s="546">
        <f>IF(H157=0,D157,0)</f>
        <v>0</v>
      </c>
      <c r="H157" s="546">
        <v>0</v>
      </c>
      <c r="I157" s="544"/>
      <c r="J157" s="545" t="str">
        <f>'Wrksht. F, CWIP Desc. EKC'!F137</f>
        <v>LCOM REMOVAL OF FLY ASH</v>
      </c>
    </row>
    <row r="158" spans="1:10" ht="13.2" customHeight="1">
      <c r="A158" s="619">
        <f t="shared" si="13"/>
        <v>128</v>
      </c>
      <c r="B158" s="539" t="str">
        <f>'Wrksht. F, CWIP Desc. EKC'!B138</f>
        <v>1070002</v>
      </c>
      <c r="C158" s="540" t="str">
        <f>'Wrksht. F, CWIP Desc. EKC'!C138</f>
        <v>TEC01706701</v>
      </c>
      <c r="D158" s="546">
        <f>'Wrsht. G, CWIP AFUDC Cre. EKC '!I139</f>
        <v>0</v>
      </c>
      <c r="E158" s="548" t="str">
        <f>'Wrksht. F, CWIP Desc. EKC'!E138</f>
        <v>PC</v>
      </c>
      <c r="F158" s="546"/>
      <c r="G158" s="546">
        <f>IF(H158=0,D158,0)</f>
        <v>0</v>
      </c>
      <c r="H158" s="546">
        <v>0</v>
      </c>
      <c r="I158" s="544"/>
      <c r="J158" s="545" t="str">
        <f>'Wrksht. F, CWIP Desc. EKC'!F138</f>
        <v>BI 017067 T8 LOW NOX BURNERS &amp; SOFA</v>
      </c>
    </row>
    <row r="159" spans="1:10" ht="13.2" customHeight="1">
      <c r="A159" s="619">
        <f t="shared" si="13"/>
        <v>129</v>
      </c>
      <c r="B159" s="539" t="str">
        <f>'Wrksht. F, CWIP Desc. EKC'!B139</f>
        <v>1070002</v>
      </c>
      <c r="C159" s="540" t="str">
        <f>'Wrksht. F, CWIP Desc. EKC'!C139</f>
        <v>LEC011105301</v>
      </c>
      <c r="D159" s="546">
        <f>'Wrsht. G, CWIP AFUDC Cre. EKC '!I140</f>
        <v>0</v>
      </c>
      <c r="E159" s="548" t="str">
        <f>'Wrksht. F, CWIP Desc. EKC'!E139</f>
        <v>PC</v>
      </c>
      <c r="F159" s="546"/>
      <c r="G159" s="546">
        <f>IF(H159=0,D159,0)</f>
        <v>0</v>
      </c>
      <c r="H159" s="546">
        <v>0</v>
      </c>
      <c r="I159" s="544"/>
      <c r="J159" s="545" t="str">
        <f>'Wrksht. F, CWIP Desc. EKC'!F139</f>
        <v>LEC L3 LOW NOx BURNER RETROFIT 2012</v>
      </c>
    </row>
    <row r="160" spans="1:10" ht="20.25" customHeight="1">
      <c r="A160" s="1740" t="str">
        <f>A51</f>
        <v>WORKSHEET A (EKC), CWIP ACCOUNT 107</v>
      </c>
      <c r="B160" s="1740"/>
      <c r="C160" s="1741"/>
      <c r="D160" s="1741"/>
      <c r="E160" s="1741"/>
      <c r="F160" s="1741"/>
      <c r="G160" s="1741"/>
      <c r="H160" s="1741"/>
      <c r="I160" s="1741"/>
      <c r="J160" s="1741"/>
    </row>
    <row r="161" spans="1:10" ht="19.2" customHeight="1">
      <c r="A161" s="1742" t="str">
        <f>A2</f>
        <v>For Contract Year Beginning June 1, 2024, Based on 2023 Data</v>
      </c>
      <c r="B161" s="1742"/>
      <c r="C161" s="1743"/>
      <c r="D161" s="1743"/>
      <c r="E161" s="1743"/>
      <c r="F161" s="1743"/>
      <c r="G161" s="1743"/>
      <c r="H161" s="1743"/>
      <c r="I161" s="1743"/>
      <c r="J161" s="1743"/>
    </row>
    <row r="162" spans="1:10" ht="13.2" customHeight="1">
      <c r="A162" s="505"/>
      <c r="B162" s="749"/>
      <c r="C162" s="532"/>
      <c r="D162" s="750"/>
      <c r="E162" s="751"/>
      <c r="F162" s="750"/>
      <c r="G162" s="750"/>
      <c r="H162" s="750"/>
      <c r="I162" s="528"/>
      <c r="J162" s="752"/>
    </row>
    <row r="163" spans="1:10" ht="15.6" customHeight="1">
      <c r="C163" s="507"/>
      <c r="D163" s="488" t="s">
        <v>480</v>
      </c>
      <c r="E163" s="488" t="s">
        <v>481</v>
      </c>
      <c r="F163" s="488" t="s">
        <v>482</v>
      </c>
      <c r="G163" s="488" t="s">
        <v>483</v>
      </c>
      <c r="H163" s="488" t="s">
        <v>484</v>
      </c>
      <c r="I163" s="488" t="s">
        <v>884</v>
      </c>
      <c r="J163" s="488" t="s">
        <v>485</v>
      </c>
    </row>
    <row r="164" spans="1:10" ht="15.6" customHeight="1">
      <c r="D164" s="489" t="s">
        <v>1545</v>
      </c>
      <c r="E164" s="490" t="s">
        <v>1578</v>
      </c>
      <c r="F164" s="491"/>
      <c r="G164" s="490">
        <v>1</v>
      </c>
      <c r="H164" s="490">
        <v>0.5</v>
      </c>
      <c r="I164" s="488" t="s">
        <v>468</v>
      </c>
      <c r="J164" s="489" t="s">
        <v>476</v>
      </c>
    </row>
    <row r="165" spans="1:10" ht="15.6" customHeight="1">
      <c r="D165" s="489" t="s">
        <v>1568</v>
      </c>
      <c r="E165" s="488" t="s">
        <v>1583</v>
      </c>
      <c r="F165" s="488"/>
      <c r="G165" s="488" t="s">
        <v>116</v>
      </c>
      <c r="H165" s="488" t="s">
        <v>116</v>
      </c>
      <c r="I165" s="488" t="s">
        <v>1079</v>
      </c>
      <c r="J165" s="489" t="s">
        <v>15</v>
      </c>
    </row>
    <row r="166" spans="1:10" ht="15.6" customHeight="1">
      <c r="D166" s="489" t="s">
        <v>1569</v>
      </c>
      <c r="E166" s="492" t="s">
        <v>220</v>
      </c>
      <c r="F166" s="488"/>
      <c r="G166" s="488" t="s">
        <v>1584</v>
      </c>
      <c r="H166" s="488" t="s">
        <v>1585</v>
      </c>
      <c r="I166" s="488" t="s">
        <v>299</v>
      </c>
      <c r="J166" s="489"/>
    </row>
    <row r="167" spans="1:10" ht="15.6" customHeight="1">
      <c r="D167" s="493" t="s">
        <v>1948</v>
      </c>
      <c r="E167" s="492"/>
      <c r="F167" s="494"/>
      <c r="G167" s="495"/>
      <c r="H167" s="495"/>
      <c r="I167" s="495"/>
      <c r="J167" s="495"/>
    </row>
    <row r="168" spans="1:10" ht="13.2" customHeight="1">
      <c r="D168" s="504"/>
      <c r="E168" s="497"/>
      <c r="F168" s="498"/>
    </row>
    <row r="169" spans="1:10" ht="13.2" customHeight="1">
      <c r="A169" s="499" t="s">
        <v>531</v>
      </c>
      <c r="B169" s="500" t="s">
        <v>1078</v>
      </c>
      <c r="C169" s="501" t="s">
        <v>1077</v>
      </c>
      <c r="D169" s="502"/>
      <c r="E169" s="503"/>
      <c r="F169" s="503"/>
      <c r="G169" s="503"/>
      <c r="H169" s="503"/>
      <c r="I169" s="503"/>
      <c r="J169" s="502"/>
    </row>
    <row r="170" spans="1:10" ht="13.2" customHeight="1">
      <c r="A170" s="619">
        <f>A159+1</f>
        <v>130</v>
      </c>
      <c r="B170" s="539">
        <f>'Wrksht. F, CWIP Desc. EKC'!B140</f>
        <v>1000</v>
      </c>
      <c r="C170" s="540" t="str">
        <f>'Wrksht. F, CWIP Desc. EKC'!C140</f>
        <v>JEC011117901</v>
      </c>
      <c r="D170" s="546">
        <f>'Wrsht. G, CWIP AFUDC Cre. EKC '!I141</f>
        <v>0</v>
      </c>
      <c r="E170" s="548" t="str">
        <f>'Wrksht. F, CWIP Desc. EKC'!E140</f>
        <v>O</v>
      </c>
      <c r="F170" s="546"/>
      <c r="G170" s="546">
        <f>IF(H170=0,D170,0)</f>
        <v>0</v>
      </c>
      <c r="H170" s="546">
        <v>0</v>
      </c>
      <c r="I170" s="544"/>
      <c r="J170" s="545" t="str">
        <f>'Wrksht. F, CWIP Desc. EKC'!F140</f>
        <v>PROJECT #0111179. JCOM COOLING TOWER BLOWDOWN LINE</v>
      </c>
    </row>
    <row r="171" spans="1:10" ht="13.2" customHeight="1">
      <c r="A171" s="619">
        <f t="shared" si="13"/>
        <v>131</v>
      </c>
      <c r="B171" s="539">
        <f>'Wrksht. F, CWIP Desc. EKC'!B141</f>
        <v>1000</v>
      </c>
      <c r="C171" s="540" t="str">
        <f>'Wrksht. F, CWIP Desc. EKC'!C141</f>
        <v>JEC011205201</v>
      </c>
      <c r="D171" s="546">
        <f>'Wrsht. G, CWIP AFUDC Cre. EKC '!I142</f>
        <v>0</v>
      </c>
      <c r="E171" s="548" t="str">
        <f>'Wrksht. F, CWIP Desc. EKC'!E141</f>
        <v>PC</v>
      </c>
      <c r="F171" s="546"/>
      <c r="G171" s="546">
        <f>IF(H171=0,D171,0)</f>
        <v>0</v>
      </c>
      <c r="H171" s="546">
        <v>0</v>
      </c>
      <c r="I171" s="544"/>
      <c r="J171" s="545" t="str">
        <f>'Wrksht. F, CWIP Desc. EKC'!F141</f>
        <v>J2 SNCR AND SMARTBURN INSTALLATION</v>
      </c>
    </row>
    <row r="172" spans="1:10" ht="13.2" customHeight="1">
      <c r="A172" s="619">
        <f t="shared" si="13"/>
        <v>132</v>
      </c>
      <c r="B172" s="539">
        <f>'Wrksht. F, CWIP Desc. EKC'!B142</f>
        <v>1000</v>
      </c>
      <c r="C172" s="540" t="str">
        <f>'Wrksht. F, CWIP Desc. EKC'!C142</f>
        <v>JEC011300301</v>
      </c>
      <c r="D172" s="546">
        <f>'Wrsht. G, CWIP AFUDC Cre. EKC '!I143</f>
        <v>0</v>
      </c>
      <c r="E172" s="548" t="str">
        <f>'Wrksht. F, CWIP Desc. EKC'!E142</f>
        <v>PC</v>
      </c>
      <c r="F172" s="546"/>
      <c r="G172" s="546">
        <f>IF(H172=0,D172,0)</f>
        <v>0</v>
      </c>
      <c r="H172" s="546">
        <v>0</v>
      </c>
      <c r="I172" s="544"/>
      <c r="J172" s="545" t="str">
        <f>'Wrksht. F, CWIP Desc. EKC'!F142</f>
        <v>BI #0113003 - JCOM FGD WASTEWATER TREATMENT SYSTEM</v>
      </c>
    </row>
    <row r="173" spans="1:10" ht="13.2" customHeight="1">
      <c r="A173" s="619">
        <f t="shared" si="13"/>
        <v>133</v>
      </c>
      <c r="B173" s="539">
        <f>'Wrksht. F, CWIP Desc. EKC'!B143</f>
        <v>1000</v>
      </c>
      <c r="C173" s="540" t="str">
        <f>'Wrksht. F, CWIP Desc. EKC'!C143</f>
        <v>JEC011410201</v>
      </c>
      <c r="D173" s="546">
        <f>'Wrsht. G, CWIP AFUDC Cre. EKC '!I144</f>
        <v>0</v>
      </c>
      <c r="E173" s="548" t="str">
        <f>'Wrksht. F, CWIP Desc. EKC'!E143</f>
        <v>O</v>
      </c>
      <c r="F173" s="546"/>
      <c r="G173" s="546">
        <f>IF(H173=0,D173,0)</f>
        <v>0</v>
      </c>
      <c r="H173" s="546">
        <v>0</v>
      </c>
      <c r="I173" s="544"/>
      <c r="J173" s="545" t="str">
        <f>'Wrksht. F, CWIP Desc. EKC'!F143</f>
        <v>PROJECT 0114102 - J1 LP TURBINE UPGRADE</v>
      </c>
    </row>
    <row r="174" spans="1:10" ht="13.2" customHeight="1">
      <c r="A174" s="619">
        <f t="shared" si="13"/>
        <v>134</v>
      </c>
      <c r="B174" s="539">
        <f>'Wrksht. F, CWIP Desc. EKC'!B144</f>
        <v>1000</v>
      </c>
      <c r="C174" s="540" t="str">
        <f>'Wrksht. F, CWIP Desc. EKC'!C144</f>
        <v>E011388801</v>
      </c>
      <c r="D174" s="546">
        <f>'Wrsht. G, CWIP AFUDC Cre. EKC '!I145</f>
        <v>0</v>
      </c>
      <c r="E174" s="548" t="str">
        <f>'Wrksht. F, CWIP Desc. EKC'!E144</f>
        <v>O</v>
      </c>
      <c r="F174" s="546"/>
      <c r="G174" s="546">
        <f>IF(H174=0,D174,0)</f>
        <v>0</v>
      </c>
      <c r="H174" s="546">
        <v>0</v>
      </c>
      <c r="I174" s="544"/>
      <c r="J174" s="545" t="str">
        <f>'Wrksht. F, CWIP Desc. EKC'!F144</f>
        <v>PROJECT  0113888 - 7EA CAPITAL SPARES PURCHASE</v>
      </c>
    </row>
    <row r="175" spans="1:10" ht="13.2" customHeight="1">
      <c r="A175" s="757">
        <f t="shared" si="13"/>
        <v>135</v>
      </c>
      <c r="B175" s="547">
        <f>'Wrksht. F, CWIP Desc. EKC'!B145</f>
        <v>1000</v>
      </c>
      <c r="C175" s="616" t="str">
        <f>'Wrksht. F, CWIP Desc. EKC'!C145</f>
        <v>05701 JEC011305201</v>
      </c>
      <c r="D175" s="546">
        <f>'Wrsht. G, CWIP AFUDC Cre. EKC '!I146</f>
        <v>0</v>
      </c>
      <c r="E175" s="548" t="str">
        <f>'Wrksht. F, CWIP Desc. EKC'!E145</f>
        <v>PC</v>
      </c>
      <c r="F175" s="546"/>
      <c r="G175" s="546">
        <f t="shared" ref="G175:G182" si="16">IF(H175=0,D175,0)</f>
        <v>0</v>
      </c>
      <c r="H175" s="546">
        <v>0</v>
      </c>
      <c r="I175" s="553"/>
      <c r="J175" s="617" t="str">
        <f>'Wrksht. F, CWIP Desc. EKC'!F145</f>
        <v>BI #0113052 - J1 ACTIVATED CARBON INJECTION SYSTEM</v>
      </c>
    </row>
    <row r="176" spans="1:10" ht="13.2" customHeight="1">
      <c r="A176" s="619">
        <f t="shared" si="13"/>
        <v>136</v>
      </c>
      <c r="B176" s="539">
        <f>'Wrksht. F, CWIP Desc. EKC'!B146</f>
        <v>1000</v>
      </c>
      <c r="C176" s="540" t="str">
        <f>'Wrksht. F, CWIP Desc. EKC'!C146</f>
        <v>05701 JEC011305401</v>
      </c>
      <c r="D176" s="546">
        <f>'Wrsht. G, CWIP AFUDC Cre. EKC '!I147</f>
        <v>0</v>
      </c>
      <c r="E176" s="548" t="str">
        <f>'Wrksht. F, CWIP Desc. EKC'!E146</f>
        <v>PC</v>
      </c>
      <c r="F176" s="546"/>
      <c r="G176" s="546">
        <f t="shared" si="16"/>
        <v>0</v>
      </c>
      <c r="H176" s="546">
        <v>0</v>
      </c>
      <c r="I176" s="544"/>
      <c r="J176" s="545" t="str">
        <f>'Wrksht. F, CWIP Desc. EKC'!F146</f>
        <v>BI #0113054 - J3 ACTIVATED CARBON INJECTION SYSTEM</v>
      </c>
    </row>
    <row r="177" spans="1:10" ht="13.2" customHeight="1">
      <c r="A177" s="619">
        <f t="shared" si="13"/>
        <v>137</v>
      </c>
      <c r="B177" s="539">
        <f>'Wrksht. F, CWIP Desc. EKC'!B147</f>
        <v>1000</v>
      </c>
      <c r="C177" s="540" t="str">
        <f>'Wrksht. F, CWIP Desc. EKC'!C147</f>
        <v>L011305501</v>
      </c>
      <c r="D177" s="546">
        <f>'Wrsht. G, CWIP AFUDC Cre. EKC '!I148</f>
        <v>0</v>
      </c>
      <c r="E177" s="548" t="str">
        <f>'Wrksht. F, CWIP Desc. EKC'!E147</f>
        <v>PC</v>
      </c>
      <c r="F177" s="546"/>
      <c r="G177" s="546">
        <f t="shared" si="16"/>
        <v>0</v>
      </c>
      <c r="H177" s="546">
        <v>0</v>
      </c>
      <c r="I177" s="544"/>
      <c r="J177" s="545" t="str">
        <f>'Wrksht. F, CWIP Desc. EKC'!F147</f>
        <v>BI #0113055 - L4 ACTIVATED CARBON INJECTION SYSTEM</v>
      </c>
    </row>
    <row r="178" spans="1:10" ht="13.2" customHeight="1">
      <c r="A178" s="619">
        <f t="shared" si="13"/>
        <v>138</v>
      </c>
      <c r="B178" s="539">
        <f>'Wrksht. F, CWIP Desc. EKC'!B148</f>
        <v>1000</v>
      </c>
      <c r="C178" s="540" t="str">
        <f>'Wrksht. F, CWIP Desc. EKC'!C148</f>
        <v>05877 TGO011098701</v>
      </c>
      <c r="D178" s="546">
        <f>'Wrsht. G, CWIP AFUDC Cre. EKC '!I149</f>
        <v>0</v>
      </c>
      <c r="E178" s="548" t="str">
        <f>'Wrksht. F, CWIP Desc. EKC'!E148</f>
        <v>O</v>
      </c>
      <c r="F178" s="546"/>
      <c r="G178" s="546">
        <f t="shared" si="16"/>
        <v>0</v>
      </c>
      <c r="H178" s="546">
        <f>D178*0.5</f>
        <v>0</v>
      </c>
      <c r="I178" s="544"/>
      <c r="J178" s="545" t="str">
        <f>'Wrksht. F, CWIP Desc. EKC'!F148</f>
        <v>DEVELOPMENT OF PLANT SITE SPECIFIC</v>
      </c>
    </row>
    <row r="179" spans="1:10" ht="13.2" customHeight="1">
      <c r="A179" s="619">
        <f t="shared" si="13"/>
        <v>139</v>
      </c>
      <c r="B179" s="539">
        <f>'Wrksht. F, CWIP Desc. EKC'!B149</f>
        <v>1000</v>
      </c>
      <c r="C179" s="540" t="str">
        <f>'Wrksht. F, CWIP Desc. EKC'!C149</f>
        <v>J011300302</v>
      </c>
      <c r="D179" s="546">
        <f>'Wrsht. G, CWIP AFUDC Cre. EKC '!I150</f>
        <v>0</v>
      </c>
      <c r="E179" s="548" t="str">
        <f>'Wrksht. F, CWIP Desc. EKC'!E149</f>
        <v>PC</v>
      </c>
      <c r="F179" s="546"/>
      <c r="G179" s="546">
        <f t="shared" si="16"/>
        <v>0</v>
      </c>
      <c r="H179" s="546">
        <v>0</v>
      </c>
      <c r="I179" s="544"/>
      <c r="J179" s="545" t="str">
        <f>'Wrksht. F, CWIP Desc. EKC'!F149</f>
        <v>BI #0113003.02 - JCOM FGD WASTEWATER TREATMENT SYSTEM</v>
      </c>
    </row>
    <row r="180" spans="1:10" ht="13.2" customHeight="1">
      <c r="A180" s="619">
        <f t="shared" si="13"/>
        <v>140</v>
      </c>
      <c r="B180" s="539">
        <f>'Wrksht. F, CWIP Desc. EKC'!B150</f>
        <v>1000</v>
      </c>
      <c r="C180" s="540" t="str">
        <f>'Wrksht. F, CWIP Desc. EKC'!C150</f>
        <v>J011414901</v>
      </c>
      <c r="D180" s="546">
        <f>'Wrsht. G, CWIP AFUDC Cre. EKC '!I151</f>
        <v>0</v>
      </c>
      <c r="E180" s="548" t="str">
        <f>'Wrksht. F, CWIP Desc. EKC'!E150</f>
        <v>O</v>
      </c>
      <c r="F180" s="546"/>
      <c r="G180" s="546">
        <f t="shared" si="16"/>
        <v>0</v>
      </c>
      <c r="H180" s="546">
        <f>D180*0.5</f>
        <v>0</v>
      </c>
      <c r="I180" s="544"/>
      <c r="J180" s="545" t="str">
        <f>'Wrksht. F, CWIP Desc. EKC'!F150</f>
        <v>BI# 0114149 - J1 STACK LINER UPGRADE</v>
      </c>
    </row>
    <row r="181" spans="1:10" ht="13.2" customHeight="1">
      <c r="A181" s="619">
        <f t="shared" si="13"/>
        <v>141</v>
      </c>
      <c r="B181" s="539">
        <f>'Wrksht. F, CWIP Desc. EKC'!B151</f>
        <v>1000</v>
      </c>
      <c r="C181" s="540" t="str">
        <f>'Wrksht. F, CWIP Desc. EKC'!C151</f>
        <v>L011305701</v>
      </c>
      <c r="D181" s="546">
        <f>'Wrsht. G, CWIP AFUDC Cre. EKC '!I152</f>
        <v>0</v>
      </c>
      <c r="E181" s="548" t="str">
        <f>'Wrksht. F, CWIP Desc. EKC'!E151</f>
        <v>PC</v>
      </c>
      <c r="F181" s="546"/>
      <c r="G181" s="546">
        <f t="shared" si="16"/>
        <v>0</v>
      </c>
      <c r="H181" s="546">
        <v>0</v>
      </c>
      <c r="I181" s="544"/>
      <c r="J181" s="545" t="str">
        <f>'Wrksht. F, CWIP Desc. EKC'!F151</f>
        <v>BI# 0113057 - L5 ACTIVATED CARBON INJECTION</v>
      </c>
    </row>
    <row r="182" spans="1:10" ht="13.2" customHeight="1">
      <c r="A182" s="619">
        <f t="shared" si="13"/>
        <v>142</v>
      </c>
      <c r="B182" s="539">
        <f>'Wrksht. F, CWIP Desc. EKC'!B152</f>
        <v>1000</v>
      </c>
      <c r="C182" s="540" t="str">
        <f>'Wrksht. F, CWIP Desc. EKC'!C152</f>
        <v>05701 JEC011305301</v>
      </c>
      <c r="D182" s="546">
        <f>'Wrsht. G, CWIP AFUDC Cre. EKC '!I153</f>
        <v>0</v>
      </c>
      <c r="E182" s="548" t="str">
        <f>'Wrksht. F, CWIP Desc. EKC'!E152</f>
        <v>PC</v>
      </c>
      <c r="F182" s="546"/>
      <c r="G182" s="546">
        <f t="shared" si="16"/>
        <v>0</v>
      </c>
      <c r="H182" s="546">
        <v>0</v>
      </c>
      <c r="I182" s="544"/>
      <c r="J182" s="545" t="str">
        <f>'Wrksht. F, CWIP Desc. EKC'!F152</f>
        <v>BI #0113053 - J2 ACTIVATED CARBON INJECTION SYSTEM</v>
      </c>
    </row>
    <row r="183" spans="1:10" ht="13.2" customHeight="1">
      <c r="A183" s="757">
        <f t="shared" si="13"/>
        <v>143</v>
      </c>
      <c r="B183" s="539">
        <f>'Wrksht. F, CWIP Desc. EKC'!B153</f>
        <v>1000</v>
      </c>
      <c r="C183" s="540" t="str">
        <f>'Wrksht. F, CWIP Desc. EKC'!C153</f>
        <v>J011412301</v>
      </c>
      <c r="D183" s="546">
        <f>'Wrsht. G, CWIP AFUDC Cre. EKC '!I154</f>
        <v>0</v>
      </c>
      <c r="E183" s="548" t="str">
        <f>'Wrksht. F, CWIP Desc. EKC'!E153</f>
        <v>O</v>
      </c>
      <c r="F183" s="546"/>
      <c r="G183" s="546">
        <f>IF(H183=0,D183,0)</f>
        <v>0</v>
      </c>
      <c r="H183" s="546">
        <f>D183*0.5</f>
        <v>0</v>
      </c>
      <c r="I183" s="544"/>
      <c r="J183" s="545" t="str">
        <f>'Wrksht. F, CWIP Desc. EKC'!F153</f>
        <v xml:space="preserve">FOR MECHANICAL MAINTENANCE TO TIG </v>
      </c>
    </row>
    <row r="184" spans="1:10" s="785" customFormat="1" ht="13.2" customHeight="1">
      <c r="A184" s="757">
        <f t="shared" si="13"/>
        <v>144</v>
      </c>
      <c r="B184" s="539">
        <f>'Wrksht. F, CWIP Desc. EKC'!B154</f>
        <v>1000</v>
      </c>
      <c r="C184" s="540" t="str">
        <f>'Wrksht. F, CWIP Desc. EKC'!C154</f>
        <v>L000022501</v>
      </c>
      <c r="D184" s="546">
        <f>'Wrsht. G, CWIP AFUDC Cre. EKC '!I155</f>
        <v>0</v>
      </c>
      <c r="E184" s="548" t="str">
        <f>'Wrksht. F, CWIP Desc. EKC'!E154</f>
        <v>O</v>
      </c>
      <c r="F184" s="546"/>
      <c r="G184" s="546">
        <f t="shared" ref="G184:G194" si="17">IF(H184=0,D184,0)</f>
        <v>0</v>
      </c>
      <c r="H184" s="546">
        <f t="shared" ref="H184:H193" si="18">D184*0.5</f>
        <v>0</v>
      </c>
      <c r="I184" s="544"/>
      <c r="J184" s="545" t="str">
        <f>'Wrksht. F, CWIP Desc. EKC'!F154</f>
        <v>L4 CW Piping Replacement</v>
      </c>
    </row>
    <row r="185" spans="1:10" s="785" customFormat="1" ht="13.2" customHeight="1">
      <c r="A185" s="619">
        <f t="shared" si="13"/>
        <v>145</v>
      </c>
      <c r="B185" s="539">
        <f>'Wrksht. F, CWIP Desc. EKC'!B155</f>
        <v>1000</v>
      </c>
      <c r="C185" s="540" t="str">
        <f>'Wrksht. F, CWIP Desc. EKC'!C155</f>
        <v>L000982201</v>
      </c>
      <c r="D185" s="546">
        <f>'Wrsht. G, CWIP AFUDC Cre. EKC '!I156</f>
        <v>0</v>
      </c>
      <c r="E185" s="548" t="str">
        <f>'Wrksht. F, CWIP Desc. EKC'!E155</f>
        <v>PC</v>
      </c>
      <c r="F185" s="546"/>
      <c r="G185" s="546">
        <f t="shared" si="17"/>
        <v>0</v>
      </c>
      <c r="H185" s="546">
        <v>0</v>
      </c>
      <c r="I185" s="544"/>
      <c r="J185" s="545" t="str">
        <f>'Wrksht. F, CWIP Desc. EKC'!F155</f>
        <v>Gypsum Pond Construction</v>
      </c>
    </row>
    <row r="186" spans="1:10" s="785" customFormat="1" ht="13.2" customHeight="1">
      <c r="A186" s="619">
        <f t="shared" si="13"/>
        <v>146</v>
      </c>
      <c r="B186" s="539">
        <f>'Wrksht. F, CWIP Desc. EKC'!B156</f>
        <v>1000</v>
      </c>
      <c r="C186" s="540" t="str">
        <f>'Wrksht. F, CWIP Desc. EKC'!C156</f>
        <v>L011305601</v>
      </c>
      <c r="D186" s="546">
        <f>'Wrsht. G, CWIP AFUDC Cre. EKC '!I157</f>
        <v>0</v>
      </c>
      <c r="E186" s="548" t="str">
        <f>'Wrksht. F, CWIP Desc. EKC'!E156</f>
        <v>PC</v>
      </c>
      <c r="F186" s="546"/>
      <c r="G186" s="546">
        <f t="shared" si="17"/>
        <v>0</v>
      </c>
      <c r="H186" s="546">
        <v>0</v>
      </c>
      <c r="I186" s="544"/>
      <c r="J186" s="545" t="str">
        <f>'Wrksht. F, CWIP Desc. EKC'!F156</f>
        <v xml:space="preserve">BI#: 0113056 - LEC #3 Activated Carbon </v>
      </c>
    </row>
    <row r="187" spans="1:10" s="785" customFormat="1" ht="13.2" customHeight="1">
      <c r="A187" s="619">
        <f>A186+1</f>
        <v>147</v>
      </c>
      <c r="B187" s="539">
        <f>'Wrksht. F, CWIP Desc. EKC'!B157</f>
        <v>1000</v>
      </c>
      <c r="C187" s="540" t="str">
        <f>'Wrksht. F, CWIP Desc. EKC'!C157</f>
        <v>05701 J000830601</v>
      </c>
      <c r="D187" s="546">
        <f>'Wrsht. G, CWIP AFUDC Cre. EKC '!I158</f>
        <v>0</v>
      </c>
      <c r="E187" s="548" t="str">
        <f>'Wrksht. F, CWIP Desc. EKC'!E157</f>
        <v>O</v>
      </c>
      <c r="F187" s="546"/>
      <c r="G187" s="546">
        <f t="shared" si="17"/>
        <v>0</v>
      </c>
      <c r="H187" s="546">
        <f t="shared" si="18"/>
        <v>0</v>
      </c>
      <c r="I187" s="544"/>
      <c r="J187" s="545" t="str">
        <f>'Wrksht. F, CWIP Desc. EKC'!F157</f>
        <v>JEC Office Remodel - Phase 1</v>
      </c>
    </row>
    <row r="188" spans="1:10" s="785" customFormat="1" ht="13.2" customHeight="1">
      <c r="A188" s="619">
        <f t="shared" si="13"/>
        <v>148</v>
      </c>
      <c r="B188" s="539">
        <f>'Wrksht. F, CWIP Desc. EKC'!B158</f>
        <v>1000</v>
      </c>
      <c r="C188" s="540" t="str">
        <f>'Wrksht. F, CWIP Desc. EKC'!C158</f>
        <v>J00616401</v>
      </c>
      <c r="D188" s="546">
        <f>'Wrsht. G, CWIP AFUDC Cre. EKC '!I159</f>
        <v>0</v>
      </c>
      <c r="E188" s="548" t="str">
        <f>'Wrksht. F, CWIP Desc. EKC'!E158</f>
        <v>O</v>
      </c>
      <c r="F188" s="546"/>
      <c r="G188" s="546">
        <f t="shared" si="17"/>
        <v>0</v>
      </c>
      <c r="H188" s="546">
        <f t="shared" si="18"/>
        <v>0</v>
      </c>
      <c r="I188" s="544"/>
      <c r="J188" s="545" t="str">
        <f>'Wrksht. F, CWIP Desc. EKC'!F158</f>
        <v>J3 MillPro System</v>
      </c>
    </row>
    <row r="189" spans="1:10" s="785" customFormat="1" ht="13.2" customHeight="1">
      <c r="A189" s="619">
        <f t="shared" si="13"/>
        <v>149</v>
      </c>
      <c r="B189" s="539">
        <f>'Wrksht. F, CWIP Desc. EKC'!B159</f>
        <v>1000</v>
      </c>
      <c r="C189" s="540" t="str">
        <f>'Wrksht. F, CWIP Desc. EKC'!C159</f>
        <v>J00616801</v>
      </c>
      <c r="D189" s="546">
        <f>'Wrsht. G, CWIP AFUDC Cre. EKC '!I160</f>
        <v>0</v>
      </c>
      <c r="E189" s="548" t="str">
        <f>'Wrksht. F, CWIP Desc. EKC'!E159</f>
        <v>O</v>
      </c>
      <c r="F189" s="546"/>
      <c r="G189" s="546">
        <f t="shared" si="17"/>
        <v>0</v>
      </c>
      <c r="H189" s="546">
        <f t="shared" si="18"/>
        <v>0</v>
      </c>
      <c r="I189" s="544"/>
      <c r="J189" s="545" t="str">
        <f>'Wrksht. F, CWIP Desc. EKC'!F159</f>
        <v>Unit 3 24" Coal Pipe Replacement</v>
      </c>
    </row>
    <row r="190" spans="1:10" s="785" customFormat="1" ht="13.2" customHeight="1">
      <c r="A190" s="619">
        <f t="shared" si="13"/>
        <v>150</v>
      </c>
      <c r="B190" s="539">
        <f>'Wrksht. F, CWIP Desc. EKC'!B160</f>
        <v>1000</v>
      </c>
      <c r="C190" s="540" t="str">
        <f>'Wrksht. F, CWIP Desc. EKC'!C160</f>
        <v>J00622001</v>
      </c>
      <c r="D190" s="546">
        <f>'Wrsht. G, CWIP AFUDC Cre. EKC '!I161</f>
        <v>0</v>
      </c>
      <c r="E190" s="548" t="str">
        <f>'Wrksht. F, CWIP Desc. EKC'!E160</f>
        <v>O</v>
      </c>
      <c r="F190" s="546"/>
      <c r="G190" s="546">
        <f t="shared" si="17"/>
        <v>0</v>
      </c>
      <c r="H190" s="546">
        <f t="shared" si="18"/>
        <v>0</v>
      </c>
      <c r="I190" s="544"/>
      <c r="J190" s="545" t="str">
        <f>'Wrksht. F, CWIP Desc. EKC'!F160</f>
        <v>J2 LP Turbine Upgrade.</v>
      </c>
    </row>
    <row r="191" spans="1:10" s="785" customFormat="1" ht="13.2" customHeight="1">
      <c r="A191" s="619">
        <f t="shared" si="13"/>
        <v>151</v>
      </c>
      <c r="B191" s="539">
        <f>'Wrksht. F, CWIP Desc. EKC'!B161</f>
        <v>1000</v>
      </c>
      <c r="C191" s="540" t="str">
        <f>'Wrksht. F, CWIP Desc. EKC'!C161</f>
        <v>J00627402</v>
      </c>
      <c r="D191" s="546">
        <f>'Wrsht. G, CWIP AFUDC Cre. EKC '!I162</f>
        <v>0</v>
      </c>
      <c r="E191" s="548" t="str">
        <f>'Wrksht. F, CWIP Desc. EKC'!E161</f>
        <v>O</v>
      </c>
      <c r="F191" s="546"/>
      <c r="G191" s="546">
        <f t="shared" si="17"/>
        <v>0</v>
      </c>
      <c r="H191" s="546">
        <f t="shared" si="18"/>
        <v>0</v>
      </c>
      <c r="I191" s="544"/>
      <c r="J191" s="545" t="str">
        <f>'Wrksht. F, CWIP Desc. EKC'!F161</f>
        <v>J3 Rotary Air Heater Sootblower Replacement</v>
      </c>
    </row>
    <row r="192" spans="1:10" s="785" customFormat="1" ht="13.2" customHeight="1">
      <c r="A192" s="619">
        <f t="shared" si="13"/>
        <v>152</v>
      </c>
      <c r="B192" s="539">
        <f>'Wrksht. F, CWIP Desc. EKC'!B162</f>
        <v>1000</v>
      </c>
      <c r="C192" s="540" t="str">
        <f>'Wrksht. F, CWIP Desc. EKC'!C162</f>
        <v>J00712401</v>
      </c>
      <c r="D192" s="546">
        <f>'Wrsht. G, CWIP AFUDC Cre. EKC '!I163</f>
        <v>0</v>
      </c>
      <c r="E192" s="548" t="str">
        <f>'Wrksht. F, CWIP Desc. EKC'!E162</f>
        <v>O</v>
      </c>
      <c r="F192" s="546"/>
      <c r="G192" s="546">
        <f t="shared" si="17"/>
        <v>0</v>
      </c>
      <c r="H192" s="546">
        <f t="shared" si="18"/>
        <v>0</v>
      </c>
      <c r="I192" s="544"/>
      <c r="J192" s="545" t="str">
        <f>'Wrksht. F, CWIP Desc. EKC'!F162</f>
        <v>JCOM Coal Handling Controls Upgrade</v>
      </c>
    </row>
    <row r="193" spans="1:10" s="785" customFormat="1" ht="13.2" customHeight="1">
      <c r="A193" s="619">
        <f t="shared" si="13"/>
        <v>153</v>
      </c>
      <c r="B193" s="539">
        <f>'Wrksht. F, CWIP Desc. EKC'!B163</f>
        <v>1000</v>
      </c>
      <c r="C193" s="540" t="str">
        <f>'Wrksht. F, CWIP Desc. EKC'!C163</f>
        <v>J01030101</v>
      </c>
      <c r="D193" s="546">
        <f>'Wrsht. G, CWIP AFUDC Cre. EKC '!I164</f>
        <v>0</v>
      </c>
      <c r="E193" s="548" t="str">
        <f>'Wrksht. F, CWIP Desc. EKC'!E163</f>
        <v>O</v>
      </c>
      <c r="F193" s="546"/>
      <c r="G193" s="546">
        <f t="shared" si="17"/>
        <v>0</v>
      </c>
      <c r="H193" s="546">
        <f t="shared" si="18"/>
        <v>0</v>
      </c>
      <c r="I193" s="544"/>
      <c r="J193" s="545" t="str">
        <f>'Wrksht. F, CWIP Desc. EKC'!F163</f>
        <v>Project #010301.  JCom Coal Pile Dust Suppression.</v>
      </c>
    </row>
    <row r="194" spans="1:10" s="785" customFormat="1" ht="13.2" customHeight="1">
      <c r="A194" s="619">
        <f t="shared" si="13"/>
        <v>154</v>
      </c>
      <c r="B194" s="539">
        <f>'Wrksht. F, CWIP Desc. EKC'!B164</f>
        <v>1000</v>
      </c>
      <c r="C194" s="540" t="str">
        <f>'Wrksht. F, CWIP Desc. EKC'!C164</f>
        <v>J01048001</v>
      </c>
      <c r="D194" s="546">
        <f>'Wrsht. G, CWIP AFUDC Cre. EKC '!I165</f>
        <v>0</v>
      </c>
      <c r="E194" s="548" t="str">
        <f>'Wrksht. F, CWIP Desc. EKC'!E164</f>
        <v>PC</v>
      </c>
      <c r="F194" s="546"/>
      <c r="G194" s="546">
        <f t="shared" si="17"/>
        <v>0</v>
      </c>
      <c r="H194" s="546">
        <v>0</v>
      </c>
      <c r="I194" s="544"/>
      <c r="J194" s="545" t="str">
        <f>'Wrksht. F, CWIP Desc. EKC'!F164</f>
        <v>JCom Bottom Ash Pond</v>
      </c>
    </row>
    <row r="195" spans="1:10" s="785" customFormat="1" ht="13.2" customHeight="1">
      <c r="A195" s="757">
        <f t="shared" si="13"/>
        <v>155</v>
      </c>
      <c r="B195" s="539">
        <f>'Wrksht. F, CWIP Desc. EKC'!B165</f>
        <v>1000</v>
      </c>
      <c r="C195" s="540" t="str">
        <f>'Wrksht. F, CWIP Desc. EKC'!C165</f>
        <v>J01089301</v>
      </c>
      <c r="D195" s="546">
        <f>'Wrsht. G, CWIP AFUDC Cre. EKC '!I166</f>
        <v>0</v>
      </c>
      <c r="E195" s="548" t="str">
        <f>'Wrksht. F, CWIP Desc. EKC'!E165</f>
        <v>O</v>
      </c>
      <c r="F195" s="546"/>
      <c r="G195" s="546">
        <f t="shared" ref="G195:G201" si="19">IF(H195=0,D195,0)</f>
        <v>0</v>
      </c>
      <c r="H195" s="546">
        <f t="shared" ref="H195:H201" si="20">D195*0.5</f>
        <v>0</v>
      </c>
      <c r="I195" s="544"/>
      <c r="J195" s="545" t="str">
        <f>'Wrksht. F, CWIP Desc. EKC'!F165</f>
        <v>J3 LP Turbine Upgrade</v>
      </c>
    </row>
    <row r="196" spans="1:10" s="785" customFormat="1" ht="13.2" customHeight="1">
      <c r="A196" s="757">
        <f t="shared" si="13"/>
        <v>156</v>
      </c>
      <c r="B196" s="547">
        <f>'Wrksht. F, CWIP Desc. EKC'!B166</f>
        <v>1000</v>
      </c>
      <c r="C196" s="616" t="str">
        <f>'Wrksht. F, CWIP Desc. EKC'!C166</f>
        <v>J01090501</v>
      </c>
      <c r="D196" s="546">
        <f>'Wrsht. G, CWIP AFUDC Cre. EKC '!I167</f>
        <v>0</v>
      </c>
      <c r="E196" s="548" t="str">
        <f>'Wrksht. F, CWIP Desc. EKC'!E166</f>
        <v>O</v>
      </c>
      <c r="F196" s="546"/>
      <c r="G196" s="546">
        <f t="shared" si="19"/>
        <v>0</v>
      </c>
      <c r="H196" s="546">
        <f t="shared" si="20"/>
        <v>0</v>
      </c>
      <c r="I196" s="553"/>
      <c r="J196" s="617" t="str">
        <f>'Wrksht. F, CWIP Desc. EKC'!F166</f>
        <v>Project #010905 J1 RAH Basket, Seal</v>
      </c>
    </row>
    <row r="197" spans="1:10" s="785" customFormat="1" ht="13.2" customHeight="1">
      <c r="A197" s="619">
        <f t="shared" si="13"/>
        <v>157</v>
      </c>
      <c r="B197" s="539">
        <f>'Wrksht. F, CWIP Desc. EKC'!B167</f>
        <v>1000</v>
      </c>
      <c r="C197" s="540" t="str">
        <f>'Wrksht. F, CWIP Desc. EKC'!C167</f>
        <v>J01081801</v>
      </c>
      <c r="D197" s="546">
        <f>'Wrsht. G, CWIP AFUDC Cre. EKC '!I168</f>
        <v>0</v>
      </c>
      <c r="E197" s="548" t="str">
        <f>'Wrksht. F, CWIP Desc. EKC'!E167</f>
        <v>O</v>
      </c>
      <c r="F197" s="546"/>
      <c r="G197" s="546">
        <f t="shared" si="19"/>
        <v>0</v>
      </c>
      <c r="H197" s="546">
        <f t="shared" si="20"/>
        <v>0</v>
      </c>
      <c r="I197" s="544"/>
      <c r="J197" s="545" t="str">
        <f>'Wrksht. F, CWIP Desc. EKC'!F167</f>
        <v xml:space="preserve">Project 010818.  J2 MillPro System </v>
      </c>
    </row>
    <row r="198" spans="1:10" s="785" customFormat="1" ht="13.2" customHeight="1">
      <c r="A198" s="619">
        <f t="shared" si="13"/>
        <v>158</v>
      </c>
      <c r="B198" s="539">
        <f>'Wrksht. F, CWIP Desc. EKC'!B168</f>
        <v>1000</v>
      </c>
      <c r="C198" s="540" t="str">
        <f>'Wrksht. F, CWIP Desc. EKC'!C168</f>
        <v>R01144001</v>
      </c>
      <c r="D198" s="546">
        <f>'Wrsht. G, CWIP AFUDC Cre. EKC '!I169</f>
        <v>0</v>
      </c>
      <c r="E198" s="548" t="str">
        <f>'Wrksht. F, CWIP Desc. EKC'!E168</f>
        <v>O</v>
      </c>
      <c r="F198" s="546"/>
      <c r="G198" s="546">
        <f t="shared" si="19"/>
        <v>0</v>
      </c>
      <c r="H198" s="546">
        <f t="shared" si="20"/>
        <v>0</v>
      </c>
      <c r="I198" s="544"/>
      <c r="J198" s="545" t="str">
        <f>'Wrksht. F, CWIP Desc. EKC'!F168</f>
        <v>FRW - Gearbox replacement on turbine</v>
      </c>
    </row>
    <row r="199" spans="1:10" s="785" customFormat="1" ht="13.2" customHeight="1">
      <c r="A199" s="619">
        <f t="shared" si="13"/>
        <v>159</v>
      </c>
      <c r="B199" s="539">
        <f>'Wrksht. F, CWIP Desc. EKC'!B169</f>
        <v>1000</v>
      </c>
      <c r="C199" s="540" t="str">
        <f>'Wrksht. F, CWIP Desc. EKC'!C169</f>
        <v>R01328002</v>
      </c>
      <c r="D199" s="546">
        <f>'Wrsht. G, CWIP AFUDC Cre. EKC '!I170</f>
        <v>0</v>
      </c>
      <c r="E199" s="548" t="str">
        <f>'Wrksht. F, CWIP Desc. EKC'!E169</f>
        <v>O</v>
      </c>
      <c r="F199" s="546"/>
      <c r="G199" s="546">
        <f t="shared" si="19"/>
        <v>0</v>
      </c>
      <c r="H199" s="546">
        <f t="shared" si="20"/>
        <v>0</v>
      </c>
      <c r="I199" s="544"/>
      <c r="J199" s="545" t="str">
        <f>'Wrksht. F, CWIP Desc. EKC'!F169</f>
        <v xml:space="preserve">Western Plains Wind Farm (Ironwood </v>
      </c>
    </row>
    <row r="200" spans="1:10" s="785" customFormat="1" ht="13.2" customHeight="1">
      <c r="A200" s="619">
        <f t="shared" si="13"/>
        <v>160</v>
      </c>
      <c r="B200" s="539">
        <f>'Wrksht. F, CWIP Desc. EKC'!B170</f>
        <v>1000</v>
      </c>
      <c r="C200" s="540" t="str">
        <f>'Wrksht. F, CWIP Desc. EKC'!C170</f>
        <v>J01412501</v>
      </c>
      <c r="D200" s="546">
        <f>'Wrsht. G, CWIP AFUDC Cre. EKC '!I171</f>
        <v>0</v>
      </c>
      <c r="E200" s="548" t="str">
        <f>'Wrksht. F, CWIP Desc. EKC'!E170</f>
        <v>O</v>
      </c>
      <c r="F200" s="546"/>
      <c r="G200" s="546">
        <f t="shared" si="19"/>
        <v>0</v>
      </c>
      <c r="H200" s="546">
        <f t="shared" si="20"/>
        <v>0</v>
      </c>
      <c r="I200" s="544"/>
      <c r="J200" s="545" t="str">
        <f>'Wrksht. F, CWIP Desc. EKC'!F170</f>
        <v>JCOM Controls Upgrade (Multi-Year)</v>
      </c>
    </row>
    <row r="201" spans="1:10" s="785" customFormat="1" ht="13.2" customHeight="1">
      <c r="A201" s="619">
        <f t="shared" si="13"/>
        <v>161</v>
      </c>
      <c r="B201" s="539">
        <f>'Wrksht. F, CWIP Desc. EKC'!B171</f>
        <v>1000</v>
      </c>
      <c r="C201" s="540" t="str">
        <f>'Wrksht. F, CWIP Desc. EKC'!C171</f>
        <v>H19113101</v>
      </c>
      <c r="D201" s="546">
        <f>'Wrsht. G, CWIP AFUDC Cre. EKC '!I172</f>
        <v>0</v>
      </c>
      <c r="E201" s="548" t="str">
        <f>'Wrksht. F, CWIP Desc. EKC'!E171</f>
        <v>O</v>
      </c>
      <c r="F201" s="546"/>
      <c r="G201" s="546">
        <f t="shared" si="19"/>
        <v>0</v>
      </c>
      <c r="H201" s="546">
        <f t="shared" si="20"/>
        <v>0</v>
      </c>
      <c r="I201" s="544"/>
      <c r="J201" s="545" t="str">
        <f>'Wrksht. F, CWIP Desc. EKC'!F171</f>
        <v>HEC GT Common - Project Number: 191131, Project Tilte:  HCOM CT Control building</v>
      </c>
    </row>
    <row r="202" spans="1:10" s="785" customFormat="1" ht="13.2" customHeight="1">
      <c r="A202" s="757">
        <f>A201+1</f>
        <v>162</v>
      </c>
      <c r="B202" s="547">
        <f>'Wrksht. F, CWIP Desc. EKC'!B172</f>
        <v>10000</v>
      </c>
      <c r="C202" s="616" t="str">
        <f>'Wrksht. F, CWIP Desc. EKC'!C172</f>
        <v>H19176901</v>
      </c>
      <c r="D202" s="546">
        <f>'Wrsht. G, CWIP AFUDC Cre. EKC '!I173</f>
        <v>0</v>
      </c>
      <c r="E202" s="548" t="str">
        <f>'Wrksht. F, CWIP Desc. EKC'!E172</f>
        <v>O</v>
      </c>
      <c r="F202" s="546"/>
      <c r="G202" s="546">
        <f t="shared" ref="G202:G208" si="21">IF(H202=0,D202,0)</f>
        <v>0</v>
      </c>
      <c r="H202" s="546">
        <f t="shared" ref="H202:H208" si="22">D202*0.5</f>
        <v>0</v>
      </c>
      <c r="I202" s="553"/>
      <c r="J202" s="617" t="str">
        <f>'Wrksht. F, CWIP Desc. EKC'!F172</f>
        <v>HEC GT #2 - G05522 Major overhaul</v>
      </c>
    </row>
    <row r="203" spans="1:10" s="785" customFormat="1" ht="13.2" customHeight="1">
      <c r="A203" s="619">
        <f t="shared" si="13"/>
        <v>163</v>
      </c>
      <c r="B203" s="539">
        <f>'Wrksht. F, CWIP Desc. EKC'!B173</f>
        <v>10000</v>
      </c>
      <c r="C203" s="540" t="str">
        <f>'Wrksht. F, CWIP Desc. EKC'!C173</f>
        <v>J00608001</v>
      </c>
      <c r="D203" s="546">
        <f>'Wrsht. G, CWIP AFUDC Cre. EKC '!I174</f>
        <v>0</v>
      </c>
      <c r="E203" s="548" t="str">
        <f>'Wrksht. F, CWIP Desc. EKC'!E173</f>
        <v>O</v>
      </c>
      <c r="F203" s="546"/>
      <c r="G203" s="546">
        <f t="shared" si="21"/>
        <v>0</v>
      </c>
      <c r="H203" s="546">
        <f t="shared" si="22"/>
        <v>0</v>
      </c>
      <c r="I203" s="544"/>
      <c r="J203" s="545" t="str">
        <f>'Wrksht. F, CWIP Desc. EKC'!F173</f>
        <v>JEC #3 - G02503 307 feed water heater retube</v>
      </c>
    </row>
    <row r="204" spans="1:10" s="785" customFormat="1" ht="13.2" customHeight="1">
      <c r="A204" s="619">
        <f t="shared" si="13"/>
        <v>164</v>
      </c>
      <c r="B204" s="539">
        <f>'Wrksht. F, CWIP Desc. EKC'!B174</f>
        <v>10000</v>
      </c>
      <c r="C204" s="540" t="str">
        <f>'Wrksht. F, CWIP Desc. EKC'!C174</f>
        <v>J01412801</v>
      </c>
      <c r="D204" s="546">
        <f>'Wrsht. G, CWIP AFUDC Cre. EKC '!I175</f>
        <v>0</v>
      </c>
      <c r="E204" s="548" t="str">
        <f>'Wrksht. F, CWIP Desc. EKC'!E174</f>
        <v>O</v>
      </c>
      <c r="F204" s="546"/>
      <c r="G204" s="546">
        <f t="shared" si="21"/>
        <v>0</v>
      </c>
      <c r="H204" s="546">
        <f t="shared" si="22"/>
        <v>0</v>
      </c>
      <c r="I204" s="544"/>
      <c r="J204" s="545" t="str">
        <f>'Wrksht. F, CWIP Desc. EKC'!F174</f>
        <v>JEC #2 - G02502 Controls Upgrade</v>
      </c>
    </row>
    <row r="205" spans="1:10" s="785" customFormat="1" ht="13.2" customHeight="1">
      <c r="A205" s="619">
        <f t="shared" si="13"/>
        <v>165</v>
      </c>
      <c r="B205" s="539">
        <f>'Wrksht. F, CWIP Desc. EKC'!B175</f>
        <v>10000</v>
      </c>
      <c r="C205" s="540" t="str">
        <f>'Wrksht. F, CWIP Desc. EKC'!C175</f>
        <v>J19164801</v>
      </c>
      <c r="D205" s="546">
        <f>'Wrsht. G, CWIP AFUDC Cre. EKC '!I176</f>
        <v>0</v>
      </c>
      <c r="E205" s="548" t="str">
        <f>'Wrksht. F, CWIP Desc. EKC'!E175</f>
        <v>PC</v>
      </c>
      <c r="F205" s="546"/>
      <c r="G205" s="546">
        <f t="shared" si="21"/>
        <v>0</v>
      </c>
      <c r="H205" s="546">
        <v>0</v>
      </c>
      <c r="I205" s="544"/>
      <c r="J205" s="545" t="str">
        <f>'Wrksht. F, CWIP Desc. EKC'!F175</f>
        <v>JEC Common - G02511 - Project #191648</v>
      </c>
    </row>
    <row r="206" spans="1:10" s="785" customFormat="1" ht="13.2" customHeight="1">
      <c r="A206" s="619">
        <f t="shared" si="13"/>
        <v>166</v>
      </c>
      <c r="B206" s="539">
        <f>'Wrksht. F, CWIP Desc. EKC'!B176</f>
        <v>10000</v>
      </c>
      <c r="C206" s="540" t="str">
        <f>'Wrksht. F, CWIP Desc. EKC'!C176</f>
        <v>J19182801</v>
      </c>
      <c r="D206" s="546">
        <f>'Wrsht. G, CWIP AFUDC Cre. EKC '!I177</f>
        <v>0</v>
      </c>
      <c r="E206" s="548" t="str">
        <f>'Wrksht. F, CWIP Desc. EKC'!E176</f>
        <v>O</v>
      </c>
      <c r="F206" s="546"/>
      <c r="G206" s="546">
        <f t="shared" si="21"/>
        <v>0</v>
      </c>
      <c r="H206" s="546">
        <f t="shared" si="22"/>
        <v>0</v>
      </c>
      <c r="I206" s="544"/>
      <c r="J206" s="545" t="str">
        <f>'Wrksht. F, CWIP Desc. EKC'!F176</f>
        <v>JEC #2 - G02502 - Project #191828</v>
      </c>
    </row>
    <row r="207" spans="1:10" s="785" customFormat="1" ht="13.2" customHeight="1">
      <c r="A207" s="619">
        <f t="shared" si="13"/>
        <v>167</v>
      </c>
      <c r="B207" s="539">
        <f>'Wrksht. F, CWIP Desc. EKC'!B177</f>
        <v>10000</v>
      </c>
      <c r="C207" s="540" t="str">
        <f>'Wrksht. F, CWIP Desc. EKC'!C177</f>
        <v>J19228401</v>
      </c>
      <c r="D207" s="546">
        <f>'Wrsht. G, CWIP AFUDC Cre. EKC '!I178</f>
        <v>0</v>
      </c>
      <c r="E207" s="548" t="str">
        <f>'Wrksht. F, CWIP Desc. EKC'!E177</f>
        <v>O</v>
      </c>
      <c r="F207" s="546"/>
      <c r="G207" s="546">
        <f t="shared" si="21"/>
        <v>0</v>
      </c>
      <c r="H207" s="546">
        <f t="shared" si="22"/>
        <v>0</v>
      </c>
      <c r="I207" s="544"/>
      <c r="J207" s="545" t="str">
        <f>'Wrksht. F, CWIP Desc. EKC'!F177</f>
        <v>JEC Common - G02511 - Project #192284</v>
      </c>
    </row>
    <row r="208" spans="1:10" s="785" customFormat="1" ht="13.2" customHeight="1">
      <c r="A208" s="619">
        <f t="shared" si="13"/>
        <v>168</v>
      </c>
      <c r="B208" s="539">
        <f>'Wrksht. F, CWIP Desc. EKC'!B178</f>
        <v>10000</v>
      </c>
      <c r="C208" s="540" t="str">
        <f>'Wrksht. F, CWIP Desc. EKC'!C178</f>
        <v>R19185601</v>
      </c>
      <c r="D208" s="546">
        <f>'Wrsht. G, CWIP AFUDC Cre. EKC '!I179</f>
        <v>0</v>
      </c>
      <c r="E208" s="548" t="str">
        <f>'Wrksht. F, CWIP Desc. EKC'!E178</f>
        <v>O</v>
      </c>
      <c r="F208" s="546"/>
      <c r="G208" s="546">
        <f t="shared" si="21"/>
        <v>0</v>
      </c>
      <c r="H208" s="546">
        <f t="shared" si="22"/>
        <v>0</v>
      </c>
      <c r="I208" s="544"/>
      <c r="J208" s="545" t="str">
        <f>'Wrksht. F, CWIP Desc. EKC'!F178</f>
        <v>Flat Ridge Wind Farm - G05102 - Project #191856</v>
      </c>
    </row>
    <row r="209" spans="1:10" s="785" customFormat="1" ht="13.2" customHeight="1">
      <c r="A209" s="757">
        <f t="shared" si="13"/>
        <v>169</v>
      </c>
      <c r="B209" s="547">
        <f>'Wrksht. F, CWIP Desc. EKC'!B179</f>
        <v>10000</v>
      </c>
      <c r="C209" s="616" t="str">
        <f>'Wrksht. F, CWIP Desc. EKC'!C179</f>
        <v>H19274901</v>
      </c>
      <c r="D209" s="546">
        <f>'Wrsht. G, CWIP AFUDC Cre. EKC '!I180</f>
        <v>0</v>
      </c>
      <c r="E209" s="548" t="str">
        <f>'Wrksht. F, CWIP Desc. EKC'!E179</f>
        <v>O</v>
      </c>
      <c r="F209" s="546"/>
      <c r="G209" s="546">
        <f t="shared" ref="G209:G215" si="23">IF(H209=0,D209,0)</f>
        <v>0</v>
      </c>
      <c r="H209" s="546">
        <f t="shared" ref="H209:H215" si="24">D209*0.5</f>
        <v>0</v>
      </c>
      <c r="I209" s="553"/>
      <c r="J209" s="617" t="str">
        <f>'Wrksht. F, CWIP Desc. EKC'!F179</f>
        <v>HEC Common - G05511</v>
      </c>
    </row>
    <row r="210" spans="1:10" s="785" customFormat="1" ht="13.2" customHeight="1">
      <c r="A210" s="619">
        <f t="shared" ref="A210:A251" si="25">A209+1</f>
        <v>170</v>
      </c>
      <c r="B210" s="539">
        <f>'Wrksht. F, CWIP Desc. EKC'!B180</f>
        <v>10000</v>
      </c>
      <c r="C210" s="540" t="str">
        <f>'Wrksht. F, CWIP Desc. EKC'!C180</f>
        <v>J19230301</v>
      </c>
      <c r="D210" s="546">
        <f>'Wrsht. G, CWIP AFUDC Cre. EKC '!I181</f>
        <v>0</v>
      </c>
      <c r="E210" s="548" t="str">
        <f>'Wrksht. F, CWIP Desc. EKC'!E180</f>
        <v>O</v>
      </c>
      <c r="F210" s="546"/>
      <c r="G210" s="546">
        <f t="shared" si="23"/>
        <v>0</v>
      </c>
      <c r="H210" s="546">
        <f t="shared" si="24"/>
        <v>0</v>
      </c>
      <c r="I210" s="544"/>
      <c r="J210" s="545" t="str">
        <f>'Wrksht. F, CWIP Desc. EKC'!F180</f>
        <v xml:space="preserve">JEC Common - G02511 </v>
      </c>
    </row>
    <row r="211" spans="1:10" s="785" customFormat="1" ht="13.2" customHeight="1">
      <c r="A211" s="619">
        <f t="shared" si="25"/>
        <v>171</v>
      </c>
      <c r="B211" s="539">
        <f>'Wrksht. F, CWIP Desc. EKC'!B181</f>
        <v>10000</v>
      </c>
      <c r="C211" s="540" t="str">
        <f>'Wrksht. F, CWIP Desc. EKC'!C181</f>
        <v>J19154801</v>
      </c>
      <c r="D211" s="546">
        <f>'Wrsht. G, CWIP AFUDC Cre. EKC '!I182</f>
        <v>0</v>
      </c>
      <c r="E211" s="548" t="str">
        <f>'Wrksht. F, CWIP Desc. EKC'!E181</f>
        <v>O</v>
      </c>
      <c r="F211" s="546"/>
      <c r="G211" s="546">
        <f t="shared" si="23"/>
        <v>0</v>
      </c>
      <c r="H211" s="546">
        <f t="shared" si="24"/>
        <v>0</v>
      </c>
      <c r="I211" s="544"/>
      <c r="J211" s="545" t="str">
        <f>'Wrksht. F, CWIP Desc. EKC'!F181</f>
        <v>JEC #1 - G02501</v>
      </c>
    </row>
    <row r="212" spans="1:10" s="785" customFormat="1" ht="13.2" customHeight="1">
      <c r="A212" s="619">
        <f t="shared" si="25"/>
        <v>172</v>
      </c>
      <c r="B212" s="539">
        <f>'Wrksht. F, CWIP Desc. EKC'!B182</f>
        <v>10000</v>
      </c>
      <c r="C212" s="540" t="str">
        <f>'Wrksht. F, CWIP Desc. EKC'!C182</f>
        <v>J192599011</v>
      </c>
      <c r="D212" s="546">
        <f>'Wrsht. G, CWIP AFUDC Cre. EKC '!I183</f>
        <v>4519341.8400000008</v>
      </c>
      <c r="E212" s="548" t="str">
        <f>'Wrksht. F, CWIP Desc. EKC'!E182</f>
        <v>O</v>
      </c>
      <c r="F212" s="546"/>
      <c r="G212" s="546">
        <f t="shared" si="23"/>
        <v>0</v>
      </c>
      <c r="H212" s="546">
        <f t="shared" si="24"/>
        <v>2259670.9200000004</v>
      </c>
      <c r="I212" s="544"/>
      <c r="J212" s="545" t="str">
        <f>'Wrksht. F, CWIP Desc. EKC'!F182</f>
        <v>JEC #3 - G02503</v>
      </c>
    </row>
    <row r="213" spans="1:10" s="785" customFormat="1" ht="13.2" customHeight="1">
      <c r="A213" s="619">
        <f t="shared" si="25"/>
        <v>173</v>
      </c>
      <c r="B213" s="539">
        <f>'Wrksht. F, CWIP Desc. EKC'!B183</f>
        <v>10000</v>
      </c>
      <c r="C213" s="540" t="str">
        <f>'Wrksht. F, CWIP Desc. EKC'!C183</f>
        <v>J19306101</v>
      </c>
      <c r="D213" s="546">
        <f>'Wrsht. G, CWIP AFUDC Cre. EKC '!I184</f>
        <v>0</v>
      </c>
      <c r="E213" s="548" t="str">
        <f>'Wrksht. F, CWIP Desc. EKC'!E183</f>
        <v>PC</v>
      </c>
      <c r="F213" s="546"/>
      <c r="G213" s="546">
        <f t="shared" si="23"/>
        <v>0</v>
      </c>
      <c r="H213" s="546">
        <v>0</v>
      </c>
      <c r="I213" s="544"/>
      <c r="J213" s="545" t="str">
        <f>'Wrksht. F, CWIP Desc. EKC'!F183</f>
        <v>JEC #1 - G02501</v>
      </c>
    </row>
    <row r="214" spans="1:10" s="785" customFormat="1" ht="13.2" customHeight="1">
      <c r="A214" s="619">
        <f t="shared" si="25"/>
        <v>174</v>
      </c>
      <c r="B214" s="539">
        <f>'Wrksht. F, CWIP Desc. EKC'!B184</f>
        <v>10000</v>
      </c>
      <c r="C214" s="540" t="str">
        <f>'Wrksht. F, CWIP Desc. EKC'!C184</f>
        <v>L19287801</v>
      </c>
      <c r="D214" s="546">
        <f>'Wrsht. G, CWIP AFUDC Cre. EKC '!I185</f>
        <v>0</v>
      </c>
      <c r="E214" s="548" t="str">
        <f>'Wrksht. F, CWIP Desc. EKC'!E184</f>
        <v>O</v>
      </c>
      <c r="F214" s="546"/>
      <c r="G214" s="546">
        <f t="shared" si="23"/>
        <v>0</v>
      </c>
      <c r="H214" s="546">
        <f t="shared" si="24"/>
        <v>0</v>
      </c>
      <c r="I214" s="544"/>
      <c r="J214" s="545" t="str">
        <f>'Wrksht. F, CWIP Desc. EKC'!F184</f>
        <v>LEC Common - G05411</v>
      </c>
    </row>
    <row r="215" spans="1:10" s="785" customFormat="1" ht="13.2" customHeight="1">
      <c r="A215" s="619">
        <f t="shared" si="25"/>
        <v>175</v>
      </c>
      <c r="B215" s="539">
        <f>'Wrksht. F, CWIP Desc. EKC'!B185</f>
        <v>10000</v>
      </c>
      <c r="C215" s="540" t="str">
        <f>'Wrksht. F, CWIP Desc. EKC'!C185</f>
        <v>H19334801</v>
      </c>
      <c r="D215" s="546">
        <f>'Wrsht. G, CWIP AFUDC Cre. EKC '!I186</f>
        <v>0</v>
      </c>
      <c r="E215" s="548" t="str">
        <f>'Wrksht. F, CWIP Desc. EKC'!E185</f>
        <v>O</v>
      </c>
      <c r="F215" s="546"/>
      <c r="G215" s="546">
        <f t="shared" si="23"/>
        <v>0</v>
      </c>
      <c r="H215" s="546">
        <f t="shared" si="24"/>
        <v>0</v>
      </c>
      <c r="I215" s="544"/>
      <c r="J215" s="545" t="str">
        <f>'Wrksht. F, CWIP Desc. EKC'!F185</f>
        <v>HEC Gt #4 - G05524</v>
      </c>
    </row>
    <row r="216" spans="1:10" s="785" customFormat="1" ht="19.2" customHeight="1">
      <c r="A216" s="1740" t="str">
        <f>A51</f>
        <v>WORKSHEET A (EKC), CWIP ACCOUNT 107</v>
      </c>
      <c r="B216" s="1740"/>
      <c r="C216" s="1741"/>
      <c r="D216" s="1741"/>
      <c r="E216" s="1741"/>
      <c r="F216" s="1741"/>
      <c r="G216" s="1741"/>
      <c r="H216" s="1741"/>
      <c r="I216" s="1741"/>
      <c r="J216" s="1741"/>
    </row>
    <row r="217" spans="1:10" s="785" customFormat="1" ht="19.2" customHeight="1">
      <c r="A217" s="1742" t="str">
        <f>A52</f>
        <v>For Contract Year Beginning June 1, 2024, Based on 2023 Data</v>
      </c>
      <c r="B217" s="1742"/>
      <c r="C217" s="1743"/>
      <c r="D217" s="1743"/>
      <c r="E217" s="1743"/>
      <c r="F217" s="1743"/>
      <c r="G217" s="1743"/>
      <c r="H217" s="1743"/>
      <c r="I217" s="1743"/>
      <c r="J217" s="1743"/>
    </row>
    <row r="218" spans="1:10" s="785" customFormat="1" ht="13.2" customHeight="1">
      <c r="A218" s="505"/>
      <c r="B218" s="749"/>
      <c r="C218" s="532"/>
      <c r="D218" s="750"/>
      <c r="E218" s="751"/>
      <c r="F218" s="750"/>
      <c r="G218" s="750"/>
      <c r="H218" s="750"/>
      <c r="I218" s="528"/>
      <c r="J218" s="752"/>
    </row>
    <row r="219" spans="1:10" s="785" customFormat="1" ht="13.2" customHeight="1">
      <c r="A219" s="506"/>
      <c r="B219" s="506"/>
      <c r="C219" s="507"/>
      <c r="D219" s="488" t="s">
        <v>480</v>
      </c>
      <c r="E219" s="488" t="s">
        <v>481</v>
      </c>
      <c r="F219" s="488" t="s">
        <v>482</v>
      </c>
      <c r="G219" s="488" t="s">
        <v>483</v>
      </c>
      <c r="H219" s="488" t="s">
        <v>484</v>
      </c>
      <c r="I219" s="488" t="s">
        <v>884</v>
      </c>
      <c r="J219" s="488" t="s">
        <v>485</v>
      </c>
    </row>
    <row r="220" spans="1:10" s="785" customFormat="1" ht="13.2" customHeight="1">
      <c r="A220" s="506"/>
      <c r="B220" s="506"/>
      <c r="C220" s="484"/>
      <c r="D220" s="489" t="s">
        <v>1545</v>
      </c>
      <c r="E220" s="490" t="s">
        <v>1578</v>
      </c>
      <c r="F220" s="491"/>
      <c r="G220" s="490">
        <v>1</v>
      </c>
      <c r="H220" s="490">
        <v>0.5</v>
      </c>
      <c r="I220" s="488" t="s">
        <v>468</v>
      </c>
      <c r="J220" s="489" t="s">
        <v>476</v>
      </c>
    </row>
    <row r="221" spans="1:10" s="785" customFormat="1" ht="13.2" customHeight="1">
      <c r="A221" s="506"/>
      <c r="B221" s="506"/>
      <c r="C221" s="484"/>
      <c r="D221" s="489" t="s">
        <v>1568</v>
      </c>
      <c r="E221" s="488" t="s">
        <v>1583</v>
      </c>
      <c r="F221" s="488"/>
      <c r="G221" s="488" t="s">
        <v>116</v>
      </c>
      <c r="H221" s="488" t="s">
        <v>116</v>
      </c>
      <c r="I221" s="488" t="s">
        <v>1079</v>
      </c>
      <c r="J221" s="489" t="s">
        <v>15</v>
      </c>
    </row>
    <row r="222" spans="1:10" s="785" customFormat="1" ht="13.2" customHeight="1">
      <c r="A222" s="506"/>
      <c r="B222" s="506"/>
      <c r="C222" s="484"/>
      <c r="D222" s="489" t="s">
        <v>1569</v>
      </c>
      <c r="E222" s="492" t="s">
        <v>220</v>
      </c>
      <c r="F222" s="488"/>
      <c r="G222" s="488" t="s">
        <v>1584</v>
      </c>
      <c r="H222" s="488" t="s">
        <v>1585</v>
      </c>
      <c r="I222" s="488" t="s">
        <v>299</v>
      </c>
      <c r="J222" s="489"/>
    </row>
    <row r="223" spans="1:10" s="785" customFormat="1" ht="13.2" customHeight="1">
      <c r="A223" s="506"/>
      <c r="B223" s="506"/>
      <c r="C223" s="484"/>
      <c r="D223" s="493" t="s">
        <v>1948</v>
      </c>
      <c r="E223" s="492"/>
      <c r="F223" s="494"/>
      <c r="G223" s="495"/>
      <c r="H223" s="495"/>
      <c r="I223" s="495"/>
      <c r="J223" s="495"/>
    </row>
    <row r="224" spans="1:10" s="785" customFormat="1" ht="13.2" customHeight="1">
      <c r="A224" s="506"/>
      <c r="B224" s="506"/>
      <c r="C224" s="484"/>
      <c r="D224" s="504"/>
      <c r="E224" s="497"/>
      <c r="F224" s="498"/>
      <c r="G224" s="484"/>
      <c r="H224" s="484"/>
      <c r="I224" s="484"/>
      <c r="J224" s="484"/>
    </row>
    <row r="225" spans="1:10" s="785" customFormat="1" ht="13.2" customHeight="1">
      <c r="A225" s="499" t="s">
        <v>531</v>
      </c>
      <c r="B225" s="500" t="s">
        <v>1078</v>
      </c>
      <c r="C225" s="501" t="s">
        <v>1077</v>
      </c>
      <c r="D225" s="502"/>
      <c r="E225" s="503"/>
      <c r="F225" s="503"/>
      <c r="G225" s="503"/>
      <c r="H225" s="503"/>
      <c r="I225" s="503"/>
      <c r="J225" s="502"/>
    </row>
    <row r="226" spans="1:10" s="785" customFormat="1" ht="13.2" customHeight="1">
      <c r="A226" s="757">
        <f>A215+1</f>
        <v>176</v>
      </c>
      <c r="B226" s="547">
        <f>'Wrksht. F, CWIP Desc. EKC'!B186</f>
        <v>107000</v>
      </c>
      <c r="C226" s="616" t="str">
        <f>'Wrksht. F, CWIP Desc. EKC'!C186</f>
        <v>J19336701</v>
      </c>
      <c r="D226" s="546">
        <f>'Wrsht. G, CWIP AFUDC Cre. EKC '!I187</f>
        <v>0</v>
      </c>
      <c r="E226" s="548" t="str">
        <f>'Wrksht. F, CWIP Desc. EKC'!E186</f>
        <v>O</v>
      </c>
      <c r="F226" s="546"/>
      <c r="G226" s="546">
        <f t="shared" ref="G226:G237" si="26">IF(H226=0,D226,0)</f>
        <v>0</v>
      </c>
      <c r="H226" s="546">
        <f t="shared" ref="H226:H235" si="27">D226*0.5</f>
        <v>0</v>
      </c>
      <c r="I226" s="553"/>
      <c r="J226" s="617" t="str">
        <f>'Wrksht. F, CWIP Desc. EKC'!F186</f>
        <v>JEC Project #193367 J1 Reheat Pendant R</v>
      </c>
    </row>
    <row r="227" spans="1:10" s="785" customFormat="1" ht="13.2" customHeight="1">
      <c r="A227" s="619">
        <f t="shared" si="25"/>
        <v>177</v>
      </c>
      <c r="B227" s="539">
        <f>'Wrksht. F, CWIP Desc. EKC'!B187</f>
        <v>107000</v>
      </c>
      <c r="C227" s="540" t="str">
        <f>'Wrksht. F, CWIP Desc. EKC'!C187</f>
        <v>J19337101</v>
      </c>
      <c r="D227" s="546">
        <f>'Wrsht. G, CWIP AFUDC Cre. EKC '!I188</f>
        <v>0</v>
      </c>
      <c r="E227" s="548" t="str">
        <f>'Wrksht. F, CWIP Desc. EKC'!E187</f>
        <v>PC</v>
      </c>
      <c r="F227" s="546"/>
      <c r="G227" s="546">
        <f t="shared" si="26"/>
        <v>0</v>
      </c>
      <c r="H227" s="546">
        <v>0</v>
      </c>
      <c r="I227" s="544"/>
      <c r="J227" s="545" t="str">
        <f>'Wrksht. F, CWIP Desc. EKC'!F187</f>
        <v>JEC Capital Project 193371-J1 SCR Catal</v>
      </c>
    </row>
    <row r="228" spans="1:10" s="785" customFormat="1" ht="13.2" customHeight="1">
      <c r="A228" s="619">
        <f t="shared" si="25"/>
        <v>178</v>
      </c>
      <c r="B228" s="539">
        <f>'Wrksht. F, CWIP Desc. EKC'!B188</f>
        <v>107000</v>
      </c>
      <c r="C228" s="540" t="str">
        <f>'Wrksht. F, CWIP Desc. EKC'!C188</f>
        <v>ORS0000101</v>
      </c>
      <c r="D228" s="546">
        <f>'Wrsht. G, CWIP AFUDC Cre. EKC '!I189</f>
        <v>0</v>
      </c>
      <c r="E228" s="548" t="str">
        <f>'Wrksht. F, CWIP Desc. EKC'!E188</f>
        <v>O</v>
      </c>
      <c r="F228" s="546"/>
      <c r="G228" s="546">
        <f t="shared" si="26"/>
        <v>0</v>
      </c>
      <c r="H228" s="546">
        <f t="shared" si="27"/>
        <v>0</v>
      </c>
      <c r="I228" s="544"/>
      <c r="J228" s="545" t="str">
        <f>'Wrksht. F, CWIP Desc. EKC'!F188</f>
        <v>SC0 Controls ReplacementReplace tur</v>
      </c>
    </row>
    <row r="229" spans="1:10" s="785" customFormat="1" ht="13.2" customHeight="1">
      <c r="A229" s="619">
        <f t="shared" si="25"/>
        <v>179</v>
      </c>
      <c r="B229" s="539">
        <f>'Wrksht. F, CWIP Desc. EKC'!B189</f>
        <v>107000</v>
      </c>
      <c r="C229" s="540" t="str">
        <f>'Wrksht. F, CWIP Desc. EKC'!C189</f>
        <v>J19306301</v>
      </c>
      <c r="D229" s="546">
        <f>'Wrsht. G, CWIP AFUDC Cre. EKC '!I190</f>
        <v>0</v>
      </c>
      <c r="E229" s="548" t="str">
        <f>'Wrksht. F, CWIP Desc. EKC'!E189</f>
        <v>PC</v>
      </c>
      <c r="F229" s="546"/>
      <c r="G229" s="546">
        <f t="shared" si="26"/>
        <v>0</v>
      </c>
      <c r="H229" s="546">
        <v>0</v>
      </c>
      <c r="I229" s="544"/>
      <c r="J229" s="545" t="str">
        <f>'Wrksht. F, CWIP Desc. EKC'!F189</f>
        <v>JEC Project 193063 - The project is to</v>
      </c>
    </row>
    <row r="230" spans="1:10" s="785" customFormat="1" ht="13.2" customHeight="1">
      <c r="A230" s="619">
        <f t="shared" si="25"/>
        <v>180</v>
      </c>
      <c r="B230" s="539">
        <f>'Wrksht. F, CWIP Desc. EKC'!B190</f>
        <v>107000</v>
      </c>
      <c r="C230" s="540" t="str">
        <f>'Wrksht. F, CWIP Desc. EKC'!C190</f>
        <v>L19423301</v>
      </c>
      <c r="D230" s="546">
        <f>'Wrsht. G, CWIP AFUDC Cre. EKC '!I191</f>
        <v>0</v>
      </c>
      <c r="E230" s="548" t="str">
        <f>'Wrksht. F, CWIP Desc. EKC'!E190</f>
        <v>O</v>
      </c>
      <c r="F230" s="546"/>
      <c r="G230" s="546">
        <f t="shared" si="26"/>
        <v>0</v>
      </c>
      <c r="H230" s="546">
        <f t="shared" si="27"/>
        <v>0</v>
      </c>
      <c r="I230" s="544"/>
      <c r="J230" s="545" t="str">
        <f>'Wrksht. F, CWIP Desc. EKC'!F190</f>
        <v>LEC0 Railroad Track ReplacementsDet</v>
      </c>
    </row>
    <row r="231" spans="1:10" s="785" customFormat="1" ht="13.2" customHeight="1">
      <c r="A231" s="619">
        <f t="shared" si="25"/>
        <v>181</v>
      </c>
      <c r="B231" s="539">
        <f>'Wrksht. F, CWIP Desc. EKC'!B191</f>
        <v>107000</v>
      </c>
      <c r="C231" s="540" t="str">
        <f>'Wrksht. F, CWIP Desc. EKC'!C191</f>
        <v>J19262701</v>
      </c>
      <c r="D231" s="546">
        <f>'Wrsht. G, CWIP AFUDC Cre. EKC '!I192</f>
        <v>0</v>
      </c>
      <c r="E231" s="548" t="str">
        <f>'Wrksht. F, CWIP Desc. EKC'!E191</f>
        <v>O</v>
      </c>
      <c r="F231" s="546"/>
      <c r="G231" s="546">
        <f t="shared" si="26"/>
        <v>0</v>
      </c>
      <c r="H231" s="546">
        <f t="shared" si="27"/>
        <v>0</v>
      </c>
      <c r="I231" s="544"/>
      <c r="J231" s="545" t="str">
        <f>'Wrksht. F, CWIP Desc. EKC'!F191</f>
        <v>JEC Project 192627 - JCom Plant Hopper</v>
      </c>
    </row>
    <row r="232" spans="1:10" s="785" customFormat="1" ht="13.2" customHeight="1">
      <c r="A232" s="619">
        <f t="shared" si="25"/>
        <v>182</v>
      </c>
      <c r="B232" s="539">
        <f>'Wrksht. F, CWIP Desc. EKC'!B192</f>
        <v>107000</v>
      </c>
      <c r="C232" s="540" t="str">
        <f>'Wrksht. F, CWIP Desc. EKC'!C192</f>
        <v>LRL0007101</v>
      </c>
      <c r="D232" s="546">
        <f>'Wrsht. G, CWIP AFUDC Cre. EKC '!I193</f>
        <v>0</v>
      </c>
      <c r="E232" s="548" t="str">
        <f>'Wrksht. F, CWIP Desc. EKC'!E192</f>
        <v>PC</v>
      </c>
      <c r="F232" s="546"/>
      <c r="G232" s="546">
        <f t="shared" si="26"/>
        <v>0</v>
      </c>
      <c r="H232" s="546">
        <v>0</v>
      </c>
      <c r="I232" s="544"/>
      <c r="J232" s="545" t="str">
        <f>'Wrksht. F, CWIP Desc. EKC'!F192</f>
        <v>LEC0 ELG Pre treatmentInstall FGD m</v>
      </c>
    </row>
    <row r="233" spans="1:10" s="785" customFormat="1" ht="13.2" customHeight="1">
      <c r="A233" s="619">
        <f t="shared" si="25"/>
        <v>183</v>
      </c>
      <c r="B233" s="539">
        <f>'Wrksht. F, CWIP Desc. EKC'!B193</f>
        <v>107000</v>
      </c>
      <c r="C233" s="540" t="str">
        <f>'Wrksht. F, CWIP Desc. EKC'!C193</f>
        <v>JRJ0000901</v>
      </c>
      <c r="D233" s="546">
        <f>'Wrsht. G, CWIP AFUDC Cre. EKC '!I194</f>
        <v>0</v>
      </c>
      <c r="E233" s="548" t="str">
        <f>'Wrksht. F, CWIP Desc. EKC'!E193</f>
        <v>O</v>
      </c>
      <c r="F233" s="546"/>
      <c r="G233" s="546">
        <f t="shared" si="26"/>
        <v>0</v>
      </c>
      <c r="H233" s="546">
        <f t="shared" si="27"/>
        <v>0</v>
      </c>
      <c r="I233" s="544"/>
      <c r="J233" s="545" t="str">
        <f>'Wrksht. F, CWIP Desc. EKC'!F193</f>
        <v>J0 7183 Generator Rotor RewindGener</v>
      </c>
    </row>
    <row r="234" spans="1:10" s="785" customFormat="1" ht="13.2" customHeight="1">
      <c r="A234" s="619">
        <f t="shared" si="25"/>
        <v>184</v>
      </c>
      <c r="B234" s="539">
        <f>'Wrksht. F, CWIP Desc. EKC'!B194</f>
        <v>107000</v>
      </c>
      <c r="C234" s="540" t="str">
        <f>'Wrksht. F, CWIP Desc. EKC'!C194</f>
        <v>R19324301</v>
      </c>
      <c r="D234" s="546">
        <f>'Wrsht. G, CWIP AFUDC Cre. EKC '!I195</f>
        <v>0</v>
      </c>
      <c r="E234" s="548" t="str">
        <f>'Wrksht. F, CWIP Desc. EKC'!E194</f>
        <v>O</v>
      </c>
      <c r="F234" s="546"/>
      <c r="G234" s="546">
        <f t="shared" si="26"/>
        <v>0</v>
      </c>
      <c r="H234" s="546">
        <f t="shared" si="27"/>
        <v>0</v>
      </c>
      <c r="I234" s="544"/>
      <c r="J234" s="545" t="str">
        <f>'Wrksht. F, CWIP Desc. EKC'!F194</f>
        <v xml:space="preserve">WP Tower Manlift Installation	</v>
      </c>
    </row>
    <row r="235" spans="1:10" s="785" customFormat="1" ht="13.2" customHeight="1">
      <c r="A235" s="619">
        <f t="shared" si="25"/>
        <v>185</v>
      </c>
      <c r="B235" s="547">
        <f>'Wrksht. F, CWIP Desc. EKC'!B195</f>
        <v>107000</v>
      </c>
      <c r="C235" s="616" t="str">
        <f>'Wrksht. F, CWIP Desc. EKC'!C195</f>
        <v>J19259701</v>
      </c>
      <c r="D235" s="546">
        <f>'Wrsht. G, CWIP AFUDC Cre. EKC '!I196</f>
        <v>0</v>
      </c>
      <c r="E235" s="548" t="str">
        <f>'Wrksht. F, CWIP Desc. EKC'!E195</f>
        <v>O</v>
      </c>
      <c r="F235" s="546"/>
      <c r="G235" s="546">
        <f t="shared" si="26"/>
        <v>0</v>
      </c>
      <c r="H235" s="546">
        <f t="shared" si="27"/>
        <v>0</v>
      </c>
      <c r="I235" s="544"/>
      <c r="J235" s="545" t="str">
        <f>'Wrksht. F, CWIP Desc. EKC'!F195</f>
        <v>JEC J3 Controls Upgrade</v>
      </c>
    </row>
    <row r="236" spans="1:10" s="785" customFormat="1" ht="13.2" customHeight="1">
      <c r="A236" s="757">
        <f t="shared" si="25"/>
        <v>186</v>
      </c>
      <c r="B236" s="547">
        <f>'Wrksht. F, CWIP Desc. EKC'!B196</f>
        <v>107000</v>
      </c>
      <c r="C236" s="616" t="str">
        <f>'Wrksht. F, CWIP Desc. EKC'!C196</f>
        <v>JRJ0009901</v>
      </c>
      <c r="D236" s="546">
        <f>'Wrsht. G, CWIP AFUDC Cre. EKC '!I197</f>
        <v>0</v>
      </c>
      <c r="E236" s="548" t="str">
        <f>'Wrksht. F, CWIP Desc. EKC'!E196</f>
        <v>O</v>
      </c>
      <c r="F236" s="546"/>
      <c r="G236" s="546">
        <f>IF(H236=0,D236,0)</f>
        <v>0</v>
      </c>
      <c r="H236" s="546">
        <f>D236*0.5</f>
        <v>0</v>
      </c>
      <c r="I236" s="553"/>
      <c r="J236" s="617" t="str">
        <f>'Wrksht. F, CWIP Desc. EKC'!F196</f>
        <v xml:space="preserve">J2 Cascade Roof Replacement  </v>
      </c>
    </row>
    <row r="237" spans="1:10" s="785" customFormat="1" ht="13.2" customHeight="1">
      <c r="A237" s="619">
        <f t="shared" si="25"/>
        <v>187</v>
      </c>
      <c r="B237" s="539">
        <f>'Wrksht. F, CWIP Desc. EKC'!B197</f>
        <v>107000</v>
      </c>
      <c r="C237" s="540" t="str">
        <f>'Wrksht. F, CWIP Desc. EKC'!C197</f>
        <v>J19442701</v>
      </c>
      <c r="D237" s="546">
        <f>'Wrsht. G, CWIP AFUDC Cre. EKC '!I198</f>
        <v>6773730.1299999999</v>
      </c>
      <c r="E237" s="548" t="str">
        <f>'Wrksht. F, CWIP Desc. EKC'!E197</f>
        <v>PC</v>
      </c>
      <c r="F237" s="546"/>
      <c r="G237" s="546">
        <f t="shared" si="26"/>
        <v>6773730.1299999999</v>
      </c>
      <c r="H237" s="546">
        <v>0</v>
      </c>
      <c r="I237" s="544"/>
      <c r="J237" s="545" t="str">
        <f>'Wrksht. F, CWIP Desc. EKC'!F197</f>
        <v>Install Effluent Limit Guidelines compliance systems for the flue gas desulfurization systems</v>
      </c>
    </row>
    <row r="238" spans="1:10" s="785" customFormat="1" ht="13.2" customHeight="1">
      <c r="A238" s="619">
        <f t="shared" si="25"/>
        <v>188</v>
      </c>
      <c r="B238" s="539">
        <f>'Wrksht. F, CWIP Desc. EKC'!B198</f>
        <v>107000</v>
      </c>
      <c r="C238" s="540" t="str">
        <f>'Wrksht. F, CWIP Desc. EKC'!C198</f>
        <v>J19396201</v>
      </c>
      <c r="D238" s="546">
        <f>'Wrsht. G, CWIP AFUDC Cre. EKC '!I199</f>
        <v>3201385.56</v>
      </c>
      <c r="E238" s="548" t="str">
        <f>'Wrksht. F, CWIP Desc. EKC'!E198</f>
        <v>O</v>
      </c>
      <c r="F238" s="546"/>
      <c r="G238" s="546">
        <f>IF(H238=0,D238,0)</f>
        <v>0</v>
      </c>
      <c r="H238" s="546">
        <f>D238*0.5</f>
        <v>1600692.78</v>
      </c>
      <c r="I238" s="544"/>
      <c r="J238" s="545" t="str">
        <f>'Wrksht. F, CWIP Desc. EKC'!F198</f>
        <v>J2 Reheat Pendant Replacement</v>
      </c>
    </row>
    <row r="239" spans="1:10" s="785" customFormat="1" ht="13.2" customHeight="1">
      <c r="A239" s="619">
        <f t="shared" si="25"/>
        <v>189</v>
      </c>
      <c r="B239" s="539">
        <f>'Wrksht. F, CWIP Desc. EKC'!B199</f>
        <v>107000</v>
      </c>
      <c r="C239" s="540" t="str">
        <f>'Wrksht. F, CWIP Desc. EKC'!C199</f>
        <v>J19323601</v>
      </c>
      <c r="D239" s="546">
        <f>'Wrsht. G, CWIP AFUDC Cre. EKC '!I200</f>
        <v>0</v>
      </c>
      <c r="E239" s="548" t="str">
        <f>'Wrksht. F, CWIP Desc. EKC'!E199</f>
        <v>O</v>
      </c>
      <c r="F239" s="546"/>
      <c r="G239" s="546">
        <f>IF(H239=0,D239,0)</f>
        <v>0</v>
      </c>
      <c r="H239" s="546">
        <f>D239*0.5</f>
        <v>0</v>
      </c>
      <c r="I239" s="544"/>
      <c r="J239" s="545" t="str">
        <f>'Wrksht. F, CWIP Desc. EKC'!F199</f>
        <v>JEC project is in support of generation's fleetwide online remote monitoring initiative</v>
      </c>
    </row>
    <row r="240" spans="1:10" s="785" customFormat="1" ht="13.2" customHeight="1">
      <c r="A240" s="619">
        <f t="shared" si="25"/>
        <v>190</v>
      </c>
      <c r="B240" s="539">
        <f>'Wrksht. F, CWIP Desc. EKC'!B200</f>
        <v>107000</v>
      </c>
      <c r="C240" s="540" t="str">
        <f>'Wrksht. F, CWIP Desc. EKC'!C200</f>
        <v>G51951901</v>
      </c>
      <c r="D240" s="546">
        <f>'Wrsht. G, CWIP AFUDC Cre. EKC '!I201</f>
        <v>0</v>
      </c>
      <c r="E240" s="548" t="str">
        <f>'Wrksht. F, CWIP Desc. EKC'!E200</f>
        <v>O</v>
      </c>
      <c r="F240" s="546"/>
      <c r="G240" s="546">
        <f>IF(H240=0,D240,0)</f>
        <v>0</v>
      </c>
      <c r="H240" s="546">
        <f>D240*0.5</f>
        <v>0</v>
      </c>
      <c r="I240" s="544"/>
      <c r="J240" s="545" t="str">
        <f>'Wrksht. F, CWIP Desc. EKC'!F200</f>
        <v>Sedgewick County Zoo Battery Install a 1 MW 4 hour battery</v>
      </c>
    </row>
    <row r="241" spans="1:10" s="785" customFormat="1" ht="13.2" customHeight="1">
      <c r="A241" s="619">
        <f t="shared" si="25"/>
        <v>191</v>
      </c>
      <c r="B241" s="1337" t="str">
        <f>'Wrksht. F, CWIP Desc. EKC'!B201</f>
        <v>107000</v>
      </c>
      <c r="C241" s="1338" t="str">
        <f>'Wrksht. F, CWIP Desc. EKC'!C201</f>
        <v>GRG0001001</v>
      </c>
      <c r="D241" s="1339">
        <f>'Wrsht. G, CWIP AFUDC Cre. EKC '!I202</f>
        <v>0</v>
      </c>
      <c r="E241" s="1340" t="str">
        <f>'Wrksht. F, CWIP Desc. EKC'!E201</f>
        <v>O</v>
      </c>
      <c r="F241" s="1339"/>
      <c r="G241" s="1339">
        <f t="shared" ref="G241:G246" si="28">IF(H241=0,D241,0)</f>
        <v>0</v>
      </c>
      <c r="H241" s="1339">
        <f t="shared" ref="H241:H251" si="29">D241*0.5</f>
        <v>0</v>
      </c>
      <c r="I241" s="1341"/>
      <c r="J241" s="1342" t="str">
        <f>'Wrksht. F, CWIP Desc. EKC'!F201</f>
        <v>GECT3 Combustion Capital Spares 202</v>
      </c>
    </row>
    <row r="242" spans="1:10" s="785" customFormat="1" ht="13.2" customHeight="1">
      <c r="A242" s="619">
        <f t="shared" si="25"/>
        <v>192</v>
      </c>
      <c r="B242" s="1337" t="str">
        <f>'Wrksht. F, CWIP Desc. EKC'!B202</f>
        <v>107000</v>
      </c>
      <c r="C242" s="1338" t="str">
        <f>'Wrksht. F, CWIP Desc. EKC'!C202</f>
        <v>J19312201</v>
      </c>
      <c r="D242" s="1339">
        <f>'Wrsht. G, CWIP AFUDC Cre. EKC '!I203</f>
        <v>0</v>
      </c>
      <c r="E242" s="1340" t="str">
        <f>'Wrksht. F, CWIP Desc. EKC'!E202</f>
        <v>O</v>
      </c>
      <c r="F242" s="1339"/>
      <c r="G242" s="1339">
        <f t="shared" si="28"/>
        <v>0</v>
      </c>
      <c r="H242" s="1339">
        <f t="shared" si="29"/>
        <v>0</v>
      </c>
      <c r="I242" s="1341"/>
      <c r="J242" s="1342" t="str">
        <f>'Wrksht. F, CWIP Desc. EKC'!F202</f>
        <v>J2 Elevator Replacement</v>
      </c>
    </row>
    <row r="243" spans="1:10" s="785" customFormat="1" ht="13.2" customHeight="1">
      <c r="A243" s="619">
        <f t="shared" si="25"/>
        <v>193</v>
      </c>
      <c r="B243" s="1337" t="str">
        <f>'Wrksht. F, CWIP Desc. EKC'!B203</f>
        <v>107000</v>
      </c>
      <c r="C243" s="1338" t="str">
        <f>'Wrksht. F, CWIP Desc. EKC'!C203</f>
        <v>J19397401</v>
      </c>
      <c r="D243" s="1339">
        <f>'Wrsht. G, CWIP AFUDC Cre. EKC '!I204</f>
        <v>0</v>
      </c>
      <c r="E243" s="1340" t="str">
        <f>'Wrksht. F, CWIP Desc. EKC'!E203</f>
        <v>O</v>
      </c>
      <c r="F243" s="1339"/>
      <c r="G243" s="1339">
        <f t="shared" si="28"/>
        <v>0</v>
      </c>
      <c r="H243" s="1339">
        <f t="shared" si="29"/>
        <v>0</v>
      </c>
      <c r="I243" s="1341"/>
      <c r="J243" s="1342" t="str">
        <f>'Wrksht. F, CWIP Desc. EKC'!F203</f>
        <v>J1 Elevator Replacement</v>
      </c>
    </row>
    <row r="244" spans="1:10" s="785" customFormat="1" ht="13.2" customHeight="1">
      <c r="A244" s="619">
        <f t="shared" si="25"/>
        <v>194</v>
      </c>
      <c r="B244" s="1337" t="str">
        <f>'Wrksht. F, CWIP Desc. EKC'!B204</f>
        <v>107000</v>
      </c>
      <c r="C244" s="1338" t="str">
        <f>'Wrksht. F, CWIP Desc. EKC'!C204</f>
        <v>J19440101</v>
      </c>
      <c r="D244" s="1339">
        <f>'Wrsht. G, CWIP AFUDC Cre. EKC '!I205</f>
        <v>5647481.4100000001</v>
      </c>
      <c r="E244" s="1340" t="str">
        <f>'Wrksht. F, CWIP Desc. EKC'!E204</f>
        <v>O</v>
      </c>
      <c r="F244" s="1339"/>
      <c r="G244" s="1339">
        <f t="shared" si="28"/>
        <v>0</v>
      </c>
      <c r="H244" s="1339">
        <f t="shared" si="29"/>
        <v>2823740.7050000001</v>
      </c>
      <c r="I244" s="1341"/>
      <c r="J244" s="1342" t="str">
        <f>'Wrksht. F, CWIP Desc. EKC'!F204</f>
        <v xml:space="preserve">J2 Cooling Tower Ring Rebuild 2022 </v>
      </c>
    </row>
    <row r="245" spans="1:10" s="785" customFormat="1" ht="13.2" customHeight="1">
      <c r="A245" s="619">
        <f t="shared" si="25"/>
        <v>195</v>
      </c>
      <c r="B245" s="1337" t="str">
        <f>'Wrksht. F, CWIP Desc. EKC'!B205</f>
        <v>107000</v>
      </c>
      <c r="C245" s="1338" t="str">
        <f>'Wrksht. F, CWIP Desc. EKC'!C205</f>
        <v>JRJ0017501</v>
      </c>
      <c r="D245" s="1339">
        <f>'Wrsht. G, CWIP AFUDC Cre. EKC '!I206</f>
        <v>91510777.910000011</v>
      </c>
      <c r="E245" s="1340" t="str">
        <f>'Wrksht. F, CWIP Desc. EKC'!E205</f>
        <v>O</v>
      </c>
      <c r="F245" s="1339"/>
      <c r="G245" s="1339">
        <f t="shared" si="28"/>
        <v>0</v>
      </c>
      <c r="H245" s="1339">
        <f t="shared" si="29"/>
        <v>45755388.955000006</v>
      </c>
      <c r="I245" s="1341"/>
      <c r="J245" s="1342" t="str">
        <f>'Wrksht. F, CWIP Desc. EKC'!F205</f>
        <v>J3 Turbine Major Rebuild 2022</v>
      </c>
    </row>
    <row r="246" spans="1:10" s="785" customFormat="1" ht="13.2" customHeight="1" thickBot="1">
      <c r="A246" s="1542">
        <f t="shared" si="25"/>
        <v>196</v>
      </c>
      <c r="B246" s="1568" t="str">
        <f>'Wrksht. F, CWIP Desc. EKC'!B206</f>
        <v>107000</v>
      </c>
      <c r="C246" s="1338" t="str">
        <f>'Wrksht. F, CWIP Desc. EKC'!C206</f>
        <v>LRL0001301</v>
      </c>
      <c r="D246" s="1339">
        <f>'Wrsht. G, CWIP AFUDC Cre. EKC '!I207</f>
        <v>0</v>
      </c>
      <c r="E246" s="1562" t="str">
        <f>'Wrksht. F, CWIP Desc. EKC'!E206</f>
        <v>PC</v>
      </c>
      <c r="F246" s="1339"/>
      <c r="G246" s="1564">
        <f t="shared" si="28"/>
        <v>0</v>
      </c>
      <c r="H246" s="1564">
        <v>0</v>
      </c>
      <c r="I246" s="1565"/>
      <c r="J246" s="1342" t="str">
        <f>'Wrksht. F, CWIP Desc. EKC'!F206</f>
        <v>LEC0 Ash Landfill 847 Capping</v>
      </c>
    </row>
    <row r="247" spans="1:10" s="785" customFormat="1" ht="13.2" customHeight="1" thickTop="1">
      <c r="A247" s="619">
        <f t="shared" si="25"/>
        <v>197</v>
      </c>
      <c r="B247" s="1337" t="str">
        <f>'Wrksht. F, CWIP Desc. EKC'!B207</f>
        <v>107000</v>
      </c>
      <c r="C247" s="1567" t="str">
        <f>'Wrksht. F, CWIP Desc. EKC'!C207</f>
        <v>HRH0000701</v>
      </c>
      <c r="D247" s="1563">
        <f>'Wrsht. G, CWIP AFUDC Cre. EKC '!I208</f>
        <v>2205714.16</v>
      </c>
      <c r="E247" s="1340" t="str">
        <f>'Wrksht. F, CWIP Desc. EKC'!E207</f>
        <v>O</v>
      </c>
      <c r="F247" s="1563"/>
      <c r="G247" s="1339">
        <f t="shared" ref="G247:G251" si="30">IF(H247=0,D247,0)</f>
        <v>0</v>
      </c>
      <c r="H247" s="1339">
        <f t="shared" si="29"/>
        <v>1102857.08</v>
      </c>
      <c r="I247" s="1341"/>
      <c r="J247" s="1566" t="str">
        <f>'Wrksht. F, CWIP Desc. EKC'!F207</f>
        <v>HCT0 Fuel Storage Tank This project</v>
      </c>
    </row>
    <row r="248" spans="1:10" s="785" customFormat="1" ht="13.2" customHeight="1">
      <c r="A248" s="619">
        <f t="shared" si="25"/>
        <v>198</v>
      </c>
      <c r="B248" s="1337" t="str">
        <f>'Wrksht. F, CWIP Desc. EKC'!B208</f>
        <v>107000</v>
      </c>
      <c r="C248" s="1338" t="str">
        <f>'Wrksht. F, CWIP Desc. EKC'!C208</f>
        <v>J19393201</v>
      </c>
      <c r="D248" s="1339">
        <f>'Wrsht. G, CWIP AFUDC Cre. EKC '!I209</f>
        <v>2411581.46</v>
      </c>
      <c r="E248" s="1340" t="str">
        <f>'Wrksht. F, CWIP Desc. EKC'!E208</f>
        <v>O</v>
      </c>
      <c r="F248" s="1339"/>
      <c r="G248" s="1339">
        <f t="shared" si="30"/>
        <v>0</v>
      </c>
      <c r="H248" s="1339">
        <f t="shared" si="29"/>
        <v>1205790.73</v>
      </c>
      <c r="I248" s="1341"/>
      <c r="J248" s="1342" t="str">
        <f>'Wrksht. F, CWIP Desc. EKC'!F208</f>
        <v xml:space="preserve">J1 Cooling Tower Ring Rebuild 2023 </v>
      </c>
    </row>
    <row r="249" spans="1:10" s="785" customFormat="1" ht="13.2" customHeight="1">
      <c r="A249" s="619">
        <f t="shared" si="25"/>
        <v>199</v>
      </c>
      <c r="B249" s="1337" t="str">
        <f>'Wrksht. F, CWIP Desc. EKC'!B209</f>
        <v>107000</v>
      </c>
      <c r="C249" s="1338" t="str">
        <f>'Wrksht. F, CWIP Desc. EKC'!C209</f>
        <v>JRJ0019201</v>
      </c>
      <c r="D249" s="1339">
        <f>'Wrsht. G, CWIP AFUDC Cre. EKC '!I210</f>
        <v>1228395</v>
      </c>
      <c r="E249" s="1340" t="str">
        <f>'Wrksht. F, CWIP Desc. EKC'!E209</f>
        <v>O</v>
      </c>
      <c r="F249" s="1339"/>
      <c r="G249" s="1339">
        <f t="shared" si="30"/>
        <v>0</v>
      </c>
      <c r="H249" s="1339">
        <f t="shared" si="29"/>
        <v>614197.5</v>
      </c>
      <c r="I249" s="1341"/>
      <c r="J249" s="1342" t="str">
        <f>'Wrksht. F, CWIP Desc. EKC'!F209</f>
        <v xml:space="preserve"> J2 Air Heater Basket Replacement 2</v>
      </c>
    </row>
    <row r="250" spans="1:10" s="785" customFormat="1" ht="13.2" customHeight="1">
      <c r="A250" s="619">
        <f t="shared" si="25"/>
        <v>200</v>
      </c>
      <c r="B250" s="1337" t="str">
        <f>'Wrksht. F, CWIP Desc. EKC'!B210</f>
        <v>107000</v>
      </c>
      <c r="C250" s="1338" t="str">
        <f>'Wrksht. F, CWIP Desc. EKC'!C210</f>
        <v>JRJ0020001</v>
      </c>
      <c r="D250" s="1339">
        <f>'Wrsht. G, CWIP AFUDC Cre. EKC '!I211</f>
        <v>1228577.8900000001</v>
      </c>
      <c r="E250" s="1340" t="str">
        <f>'Wrksht. F, CWIP Desc. EKC'!E210</f>
        <v>O</v>
      </c>
      <c r="F250" s="1339"/>
      <c r="G250" s="1339">
        <f t="shared" si="30"/>
        <v>0</v>
      </c>
      <c r="H250" s="1339">
        <f t="shared" si="29"/>
        <v>614288.94500000007</v>
      </c>
      <c r="I250" s="1341"/>
      <c r="J250" s="1342" t="str">
        <f>'Wrksht. F, CWIP Desc. EKC'!F210</f>
        <v>J2 IP Rotor Swap 2023</v>
      </c>
    </row>
    <row r="251" spans="1:10" s="785" customFormat="1" ht="13.2" customHeight="1">
      <c r="A251" s="619">
        <f t="shared" si="25"/>
        <v>201</v>
      </c>
      <c r="B251" s="1337" t="str">
        <f>'Wrksht. F, CWIP Desc. EKC'!B211</f>
        <v>107000</v>
      </c>
      <c r="C251" s="1338" t="str">
        <f>'Wrksht. F, CWIP Desc. EKC'!C211</f>
        <v>JRJ0024201</v>
      </c>
      <c r="D251" s="1339">
        <f>'Wrsht. G, CWIP AFUDC Cre. EKC '!I212</f>
        <v>1183229.21</v>
      </c>
      <c r="E251" s="1340" t="str">
        <f>'Wrksht. F, CWIP Desc. EKC'!E211</f>
        <v>O</v>
      </c>
      <c r="F251" s="1339"/>
      <c r="G251" s="1339">
        <f t="shared" si="30"/>
        <v>0</v>
      </c>
      <c r="H251" s="1339">
        <f t="shared" si="29"/>
        <v>591614.60499999998</v>
      </c>
      <c r="I251" s="1341"/>
      <c r="J251" s="1342" t="str">
        <f>'Wrksht. F, CWIP Desc. EKC'!F211</f>
        <v xml:space="preserve">J2 HP Guide Blade Carrier Purchase </v>
      </c>
    </row>
    <row r="252" spans="1:10">
      <c r="A252" s="504">
        <f>A251+1</f>
        <v>202</v>
      </c>
      <c r="C252" s="484" t="s">
        <v>468</v>
      </c>
      <c r="D252" s="1192">
        <f>SUM(D11:D251)</f>
        <v>119910214.56999999</v>
      </c>
      <c r="E252" s="508"/>
      <c r="F252" s="508"/>
      <c r="G252" s="1192">
        <f>SUM(G11:G251)</f>
        <v>6773734.1299999999</v>
      </c>
      <c r="H252" s="1193">
        <f>SUM(H11:H251)</f>
        <v>56568244.219999999</v>
      </c>
      <c r="I252" s="1194">
        <f>G252+H252</f>
        <v>63341978.350000001</v>
      </c>
      <c r="J252" s="484" t="s">
        <v>24</v>
      </c>
    </row>
    <row r="253" spans="1:10" ht="20.399999999999999">
      <c r="A253" s="1740" t="s">
        <v>2994</v>
      </c>
      <c r="B253" s="1740"/>
      <c r="C253" s="1741"/>
      <c r="D253" s="1741"/>
      <c r="E253" s="1741"/>
      <c r="F253" s="1741"/>
      <c r="G253" s="1741"/>
      <c r="H253" s="1741"/>
      <c r="I253" s="1741"/>
      <c r="J253" s="1741"/>
    </row>
    <row r="254" spans="1:10" ht="19.2">
      <c r="A254" s="1742" t="str">
        <f>A2</f>
        <v>For Contract Year Beginning June 1, 2024, Based on 2023 Data</v>
      </c>
      <c r="B254" s="1742"/>
      <c r="C254" s="1743"/>
      <c r="D254" s="1743"/>
      <c r="E254" s="1743"/>
      <c r="F254" s="1743"/>
      <c r="G254" s="1743"/>
      <c r="H254" s="1743"/>
      <c r="I254" s="1743"/>
      <c r="J254" s="1743"/>
    </row>
    <row r="255" spans="1:10" ht="10.199999999999999" customHeight="1">
      <c r="H255" s="507"/>
    </row>
    <row r="256" spans="1:10" ht="15.6">
      <c r="C256" s="507"/>
      <c r="D256" s="488" t="s">
        <v>480</v>
      </c>
      <c r="E256" s="488" t="s">
        <v>481</v>
      </c>
      <c r="F256" s="488" t="s">
        <v>482</v>
      </c>
      <c r="G256" s="488" t="s">
        <v>483</v>
      </c>
      <c r="H256" s="488" t="s">
        <v>484</v>
      </c>
      <c r="I256" s="488" t="s">
        <v>884</v>
      </c>
      <c r="J256" s="488" t="s">
        <v>485</v>
      </c>
    </row>
    <row r="257" spans="1:11" ht="15.6">
      <c r="D257" s="495"/>
      <c r="E257" s="491" t="s">
        <v>789</v>
      </c>
      <c r="F257" s="491" t="s">
        <v>789</v>
      </c>
      <c r="G257" s="488"/>
      <c r="H257" s="488"/>
      <c r="I257" s="488" t="s">
        <v>468</v>
      </c>
      <c r="J257" s="489" t="s">
        <v>476</v>
      </c>
    </row>
    <row r="258" spans="1:11" ht="15.6">
      <c r="D258" s="489" t="s">
        <v>476</v>
      </c>
      <c r="E258" s="488" t="s">
        <v>1231</v>
      </c>
      <c r="F258" s="488" t="s">
        <v>1232</v>
      </c>
      <c r="G258" s="488" t="s">
        <v>477</v>
      </c>
      <c r="H258" s="488" t="s">
        <v>478</v>
      </c>
      <c r="I258" s="488" t="s">
        <v>1079</v>
      </c>
      <c r="J258" s="489" t="s">
        <v>486</v>
      </c>
    </row>
    <row r="259" spans="1:11" ht="15.6">
      <c r="D259" s="489" t="s">
        <v>487</v>
      </c>
      <c r="E259" s="488" t="s">
        <v>479</v>
      </c>
      <c r="F259" s="488" t="s">
        <v>479</v>
      </c>
      <c r="G259" s="488" t="s">
        <v>479</v>
      </c>
      <c r="H259" s="488" t="s">
        <v>479</v>
      </c>
      <c r="I259" s="488" t="s">
        <v>299</v>
      </c>
      <c r="J259" s="489" t="s">
        <v>300</v>
      </c>
    </row>
    <row r="260" spans="1:11" ht="12.75" customHeight="1">
      <c r="A260" s="499" t="s">
        <v>531</v>
      </c>
      <c r="B260" s="500" t="s">
        <v>1078</v>
      </c>
      <c r="C260" s="501" t="s">
        <v>880</v>
      </c>
      <c r="G260" s="510"/>
      <c r="H260" s="510"/>
    </row>
    <row r="261" spans="1:11" ht="12.75" customHeight="1">
      <c r="A261" s="758"/>
      <c r="B261" s="1338"/>
      <c r="C261" s="1343" t="s">
        <v>301</v>
      </c>
      <c r="D261" s="1344"/>
      <c r="E261" s="1345"/>
      <c r="F261" s="1346"/>
      <c r="G261" s="1346"/>
      <c r="H261" s="1346"/>
      <c r="I261" s="1347"/>
      <c r="J261" s="1348"/>
    </row>
    <row r="262" spans="1:11">
      <c r="A262" s="618">
        <v>1</v>
      </c>
      <c r="B262" s="1349">
        <v>190200</v>
      </c>
      <c r="C262" s="1349" t="s">
        <v>927</v>
      </c>
      <c r="D262" s="1350">
        <v>42150862.890000001</v>
      </c>
      <c r="E262" s="1350">
        <v>42150862.890000001</v>
      </c>
      <c r="F262" s="1350">
        <v>0</v>
      </c>
      <c r="G262" s="1350">
        <v>0</v>
      </c>
      <c r="H262" s="1350">
        <v>0</v>
      </c>
      <c r="I262" s="1351"/>
      <c r="J262" s="1352" t="s">
        <v>1626</v>
      </c>
      <c r="K262" s="785"/>
    </row>
    <row r="263" spans="1:11" ht="26.4">
      <c r="A263" s="618">
        <f>+A262+1</f>
        <v>2</v>
      </c>
      <c r="B263" s="1349">
        <v>190200</v>
      </c>
      <c r="C263" s="1349" t="s">
        <v>3234</v>
      </c>
      <c r="D263" s="1350">
        <v>0</v>
      </c>
      <c r="E263" s="1350">
        <v>0</v>
      </c>
      <c r="F263" s="1350">
        <v>0</v>
      </c>
      <c r="G263" s="1350">
        <v>0</v>
      </c>
      <c r="H263" s="1350">
        <v>0</v>
      </c>
      <c r="I263" s="1351"/>
      <c r="J263" s="1352" t="s">
        <v>3248</v>
      </c>
      <c r="K263" s="785"/>
    </row>
    <row r="264" spans="1:11">
      <c r="A264" s="618">
        <f t="shared" ref="A264:A274" si="31">A263+1</f>
        <v>3</v>
      </c>
      <c r="B264" s="1349">
        <v>190200</v>
      </c>
      <c r="C264" s="1349" t="s">
        <v>1587</v>
      </c>
      <c r="D264" s="1350">
        <v>812386.65</v>
      </c>
      <c r="E264" s="1350">
        <v>0</v>
      </c>
      <c r="F264" s="1350">
        <v>0</v>
      </c>
      <c r="G264" s="1350">
        <v>0</v>
      </c>
      <c r="H264" s="1350">
        <v>812386.65</v>
      </c>
      <c r="I264" s="1351"/>
      <c r="J264" s="1352" t="s">
        <v>1588</v>
      </c>
      <c r="K264" s="785"/>
    </row>
    <row r="265" spans="1:11" ht="26.4">
      <c r="A265" s="618">
        <f t="shared" si="31"/>
        <v>4</v>
      </c>
      <c r="B265" s="1349">
        <v>190200</v>
      </c>
      <c r="C265" s="1349" t="s">
        <v>163</v>
      </c>
      <c r="D265" s="1350">
        <v>915911.04</v>
      </c>
      <c r="E265" s="1350">
        <v>0</v>
      </c>
      <c r="F265" s="1350">
        <v>0</v>
      </c>
      <c r="G265" s="1350">
        <v>0</v>
      </c>
      <c r="H265" s="1350">
        <v>915911.04</v>
      </c>
      <c r="I265" s="1351"/>
      <c r="J265" s="1352" t="s">
        <v>1572</v>
      </c>
      <c r="K265" s="785"/>
    </row>
    <row r="266" spans="1:11">
      <c r="A266" s="618">
        <f t="shared" si="31"/>
        <v>5</v>
      </c>
      <c r="B266" s="1349">
        <v>190200</v>
      </c>
      <c r="C266" s="1349" t="s">
        <v>1573</v>
      </c>
      <c r="D266" s="1350">
        <v>525419.97</v>
      </c>
      <c r="E266" s="1350">
        <v>525419.97</v>
      </c>
      <c r="F266" s="1350">
        <v>0</v>
      </c>
      <c r="G266" s="1350">
        <v>0</v>
      </c>
      <c r="H266" s="1350">
        <v>0</v>
      </c>
      <c r="I266" s="1351"/>
      <c r="J266" s="1352" t="s">
        <v>1574</v>
      </c>
      <c r="K266" s="785"/>
    </row>
    <row r="267" spans="1:11">
      <c r="A267" s="618">
        <f t="shared" si="31"/>
        <v>6</v>
      </c>
      <c r="B267" s="1349">
        <v>190200</v>
      </c>
      <c r="C267" s="1349" t="s">
        <v>99</v>
      </c>
      <c r="D267" s="1350">
        <v>636706.63</v>
      </c>
      <c r="E267" s="1350">
        <v>0</v>
      </c>
      <c r="F267" s="1350">
        <v>0</v>
      </c>
      <c r="G267" s="1350">
        <v>0</v>
      </c>
      <c r="H267" s="1350">
        <v>636706.63</v>
      </c>
      <c r="I267" s="1351"/>
      <c r="J267" s="1352" t="s">
        <v>100</v>
      </c>
      <c r="K267" s="785"/>
    </row>
    <row r="268" spans="1:11" ht="26.4">
      <c r="A268" s="618">
        <f t="shared" si="31"/>
        <v>7</v>
      </c>
      <c r="B268" s="1349">
        <v>190200</v>
      </c>
      <c r="C268" s="1349" t="s">
        <v>101</v>
      </c>
      <c r="D268" s="1350">
        <v>1501301.4</v>
      </c>
      <c r="E268" s="1350">
        <v>0</v>
      </c>
      <c r="F268" s="1350">
        <v>0</v>
      </c>
      <c r="G268" s="1350">
        <v>0</v>
      </c>
      <c r="H268" s="1350">
        <v>1501301.4</v>
      </c>
      <c r="I268" s="1351"/>
      <c r="J268" s="1352" t="s">
        <v>102</v>
      </c>
      <c r="K268" s="785"/>
    </row>
    <row r="269" spans="1:11">
      <c r="A269" s="618">
        <f t="shared" si="31"/>
        <v>8</v>
      </c>
      <c r="B269" s="1349">
        <v>190200</v>
      </c>
      <c r="C269" s="1353" t="s">
        <v>103</v>
      </c>
      <c r="D269" s="1350">
        <v>31687.39</v>
      </c>
      <c r="E269" s="1350">
        <v>31687.39</v>
      </c>
      <c r="F269" s="1350"/>
      <c r="G269" s="1350">
        <v>0</v>
      </c>
      <c r="H269" s="1350"/>
      <c r="I269" s="1351"/>
      <c r="J269" s="1352" t="s">
        <v>1234</v>
      </c>
      <c r="K269" s="785"/>
    </row>
    <row r="270" spans="1:11" ht="26.4">
      <c r="A270" s="618">
        <f t="shared" si="31"/>
        <v>9</v>
      </c>
      <c r="B270" s="1349">
        <v>190200</v>
      </c>
      <c r="C270" s="1349" t="s">
        <v>632</v>
      </c>
      <c r="D270" s="1350">
        <v>-4158193.97</v>
      </c>
      <c r="E270" s="1350">
        <v>-4158193.97</v>
      </c>
      <c r="F270" s="1350">
        <v>0</v>
      </c>
      <c r="G270" s="1350">
        <v>0</v>
      </c>
      <c r="H270" s="1350">
        <v>0</v>
      </c>
      <c r="I270" s="1351"/>
      <c r="J270" s="1352" t="s">
        <v>633</v>
      </c>
      <c r="K270" s="785"/>
    </row>
    <row r="271" spans="1:11" ht="26.4">
      <c r="A271" s="618">
        <f>+A270+1</f>
        <v>10</v>
      </c>
      <c r="B271" s="1349">
        <v>190200</v>
      </c>
      <c r="C271" s="1349" t="s">
        <v>1404</v>
      </c>
      <c r="D271" s="1350">
        <v>4694845.6500000004</v>
      </c>
      <c r="E271" s="1350">
        <v>4694845.6500000004</v>
      </c>
      <c r="F271" s="1350">
        <v>0</v>
      </c>
      <c r="G271" s="1350">
        <v>0</v>
      </c>
      <c r="H271" s="1350">
        <v>0</v>
      </c>
      <c r="I271" s="1351"/>
      <c r="J271" s="1352" t="s">
        <v>1405</v>
      </c>
      <c r="K271" s="785"/>
    </row>
    <row r="272" spans="1:11">
      <c r="A272" s="618">
        <f t="shared" si="31"/>
        <v>11</v>
      </c>
      <c r="B272" s="1349">
        <v>190200</v>
      </c>
      <c r="C272" s="1349" t="s">
        <v>1406</v>
      </c>
      <c r="D272" s="1350">
        <v>184407.34</v>
      </c>
      <c r="E272" s="1350">
        <v>0</v>
      </c>
      <c r="F272" s="1350">
        <v>0</v>
      </c>
      <c r="G272" s="1350">
        <v>184407.34</v>
      </c>
      <c r="H272" s="1350">
        <v>0</v>
      </c>
      <c r="I272" s="1351"/>
      <c r="J272" s="1352" t="s">
        <v>1407</v>
      </c>
      <c r="K272" s="785"/>
    </row>
    <row r="273" spans="1:11" ht="26.4">
      <c r="A273" s="618">
        <f>+A272+1</f>
        <v>12</v>
      </c>
      <c r="B273" s="1349">
        <v>190200</v>
      </c>
      <c r="C273" s="1349" t="s">
        <v>660</v>
      </c>
      <c r="D273" s="1350">
        <v>775443.8</v>
      </c>
      <c r="E273" s="1350">
        <v>775443.8</v>
      </c>
      <c r="F273" s="1350">
        <v>0</v>
      </c>
      <c r="G273" s="1350">
        <v>0</v>
      </c>
      <c r="H273" s="1350">
        <v>0</v>
      </c>
      <c r="I273" s="1351"/>
      <c r="J273" s="1352" t="s">
        <v>661</v>
      </c>
      <c r="K273" s="785"/>
    </row>
    <row r="274" spans="1:11">
      <c r="A274" s="618">
        <f t="shared" si="31"/>
        <v>13</v>
      </c>
      <c r="B274" s="1349">
        <v>190200</v>
      </c>
      <c r="C274" s="1349" t="s">
        <v>3235</v>
      </c>
      <c r="D274" s="1350">
        <v>0</v>
      </c>
      <c r="E274" s="1350">
        <v>0</v>
      </c>
      <c r="F274" s="1350">
        <v>0</v>
      </c>
      <c r="G274" s="1350">
        <v>0</v>
      </c>
      <c r="H274" s="1350">
        <v>0</v>
      </c>
      <c r="I274" s="1351"/>
      <c r="J274" s="1352" t="s">
        <v>3249</v>
      </c>
      <c r="K274" s="785"/>
    </row>
    <row r="275" spans="1:11" ht="26.4">
      <c r="A275" s="618">
        <f>+A274+1</f>
        <v>14</v>
      </c>
      <c r="B275" s="1349">
        <v>190200</v>
      </c>
      <c r="C275" s="1354" t="s">
        <v>1812</v>
      </c>
      <c r="D275" s="1350">
        <v>8061139.54</v>
      </c>
      <c r="E275" s="1350">
        <v>8061139.54</v>
      </c>
      <c r="F275" s="1350">
        <v>0</v>
      </c>
      <c r="G275" s="1350">
        <v>0</v>
      </c>
      <c r="H275" s="1350">
        <v>0</v>
      </c>
      <c r="I275" s="1351"/>
      <c r="J275" s="1352" t="s">
        <v>634</v>
      </c>
      <c r="K275" s="785"/>
    </row>
    <row r="276" spans="1:11" ht="26.4">
      <c r="A276" s="619">
        <f>A275+1</f>
        <v>15</v>
      </c>
      <c r="B276" s="1349">
        <v>190200</v>
      </c>
      <c r="C276" s="1354" t="s">
        <v>272</v>
      </c>
      <c r="D276" s="1350">
        <v>186465.06</v>
      </c>
      <c r="E276" s="1350">
        <v>0</v>
      </c>
      <c r="F276" s="1350">
        <v>0</v>
      </c>
      <c r="G276" s="1350">
        <v>0</v>
      </c>
      <c r="H276" s="1350">
        <v>186465.06</v>
      </c>
      <c r="I276" s="1351"/>
      <c r="J276" s="1352" t="s">
        <v>1768</v>
      </c>
      <c r="K276" s="785"/>
    </row>
    <row r="277" spans="1:11" ht="14.4" customHeight="1">
      <c r="A277" s="619">
        <f>A276+1</f>
        <v>16</v>
      </c>
      <c r="B277" s="1349">
        <v>190200</v>
      </c>
      <c r="C277" s="1354" t="s">
        <v>3236</v>
      </c>
      <c r="D277" s="1350">
        <v>0</v>
      </c>
      <c r="E277" s="1350">
        <v>0</v>
      </c>
      <c r="F277" s="1350">
        <v>0</v>
      </c>
      <c r="G277" s="1350">
        <v>0</v>
      </c>
      <c r="H277" s="1350">
        <v>0</v>
      </c>
      <c r="I277" s="1351"/>
      <c r="J277" s="1352" t="s">
        <v>3250</v>
      </c>
      <c r="K277" s="785"/>
    </row>
    <row r="278" spans="1:11" ht="30" customHeight="1">
      <c r="A278" s="618">
        <f>A277+1</f>
        <v>17</v>
      </c>
      <c r="B278" s="1349">
        <v>190200</v>
      </c>
      <c r="C278" s="1354" t="s">
        <v>257</v>
      </c>
      <c r="D278" s="1350">
        <v>0</v>
      </c>
      <c r="E278" s="1350">
        <v>0</v>
      </c>
      <c r="F278" s="1350">
        <v>0</v>
      </c>
      <c r="G278" s="1350">
        <v>0</v>
      </c>
      <c r="H278" s="1350">
        <v>0</v>
      </c>
      <c r="I278" s="1351"/>
      <c r="J278" s="1352" t="s">
        <v>406</v>
      </c>
      <c r="K278" s="785"/>
    </row>
    <row r="279" spans="1:11" ht="30" customHeight="1">
      <c r="A279" s="618">
        <f t="shared" ref="A279:A292" si="32">A278+1</f>
        <v>18</v>
      </c>
      <c r="B279" s="1349">
        <v>190200</v>
      </c>
      <c r="C279" s="1354" t="s">
        <v>3592</v>
      </c>
      <c r="D279" s="1350">
        <v>-333839.98</v>
      </c>
      <c r="E279" s="1350">
        <v>-333839.98</v>
      </c>
      <c r="F279" s="1350">
        <v>0</v>
      </c>
      <c r="G279" s="1350">
        <v>0</v>
      </c>
      <c r="H279" s="1350">
        <v>0</v>
      </c>
      <c r="I279" s="1351"/>
      <c r="J279" s="1352" t="s">
        <v>3593</v>
      </c>
      <c r="K279" s="785"/>
    </row>
    <row r="280" spans="1:11" ht="30" customHeight="1">
      <c r="A280" s="618">
        <f t="shared" si="32"/>
        <v>19</v>
      </c>
      <c r="B280" s="1349">
        <v>190200</v>
      </c>
      <c r="C280" s="1354" t="s">
        <v>3594</v>
      </c>
      <c r="D280" s="1350">
        <v>3610218.57</v>
      </c>
      <c r="E280" s="1350">
        <v>3610218.57</v>
      </c>
      <c r="F280" s="1350">
        <v>0</v>
      </c>
      <c r="G280" s="1350">
        <v>0</v>
      </c>
      <c r="H280" s="1350">
        <v>0</v>
      </c>
      <c r="I280" s="1351"/>
      <c r="J280" s="1352" t="s">
        <v>3595</v>
      </c>
      <c r="K280" s="785"/>
    </row>
    <row r="281" spans="1:11" ht="30" customHeight="1">
      <c r="A281" s="618">
        <f t="shared" si="32"/>
        <v>20</v>
      </c>
      <c r="B281" s="1349">
        <v>190200</v>
      </c>
      <c r="C281" s="1354" t="s">
        <v>3596</v>
      </c>
      <c r="D281" s="1350">
        <v>184772.91</v>
      </c>
      <c r="E281" s="1350">
        <v>184772.91</v>
      </c>
      <c r="F281" s="1350">
        <v>0</v>
      </c>
      <c r="G281" s="1350">
        <v>0</v>
      </c>
      <c r="H281" s="1350">
        <v>0</v>
      </c>
      <c r="I281" s="1351"/>
      <c r="J281" s="1352" t="s">
        <v>3597</v>
      </c>
      <c r="K281" s="785"/>
    </row>
    <row r="282" spans="1:11" ht="30" customHeight="1">
      <c r="A282" s="618">
        <f t="shared" si="32"/>
        <v>21</v>
      </c>
      <c r="B282" s="1349">
        <v>190200</v>
      </c>
      <c r="C282" s="1354" t="s">
        <v>3598</v>
      </c>
      <c r="D282" s="1350">
        <v>10135689.9</v>
      </c>
      <c r="E282" s="1350">
        <v>10135689.9</v>
      </c>
      <c r="F282" s="1350">
        <v>0</v>
      </c>
      <c r="G282" s="1350">
        <v>0</v>
      </c>
      <c r="H282" s="1350">
        <v>0</v>
      </c>
      <c r="I282" s="1351"/>
      <c r="J282" s="1352" t="s">
        <v>3599</v>
      </c>
      <c r="K282" s="785"/>
    </row>
    <row r="283" spans="1:11" ht="30" customHeight="1">
      <c r="A283" s="618">
        <f t="shared" si="32"/>
        <v>22</v>
      </c>
      <c r="B283" s="1349">
        <v>190200</v>
      </c>
      <c r="C283" s="1354" t="s">
        <v>3600</v>
      </c>
      <c r="D283" s="1350">
        <v>2772706.7</v>
      </c>
      <c r="E283" s="1350">
        <v>2772706.7</v>
      </c>
      <c r="F283" s="1350">
        <v>0</v>
      </c>
      <c r="G283" s="1350">
        <v>0</v>
      </c>
      <c r="H283" s="1350">
        <v>0</v>
      </c>
      <c r="I283" s="1351"/>
      <c r="J283" s="1352" t="s">
        <v>3601</v>
      </c>
      <c r="K283" s="785"/>
    </row>
    <row r="284" spans="1:11" ht="27" customHeight="1">
      <c r="A284" s="618">
        <f t="shared" si="32"/>
        <v>23</v>
      </c>
      <c r="B284" s="1349">
        <v>190200</v>
      </c>
      <c r="C284" s="1354" t="s">
        <v>1785</v>
      </c>
      <c r="D284" s="1350">
        <v>0</v>
      </c>
      <c r="E284" s="1350">
        <v>0</v>
      </c>
      <c r="F284" s="1350">
        <v>0</v>
      </c>
      <c r="G284" s="1350">
        <v>0</v>
      </c>
      <c r="H284" s="1350">
        <v>0</v>
      </c>
      <c r="I284" s="1350"/>
      <c r="J284" s="1352" t="s">
        <v>1771</v>
      </c>
      <c r="K284" s="785"/>
    </row>
    <row r="285" spans="1:11">
      <c r="A285" s="618">
        <f t="shared" si="32"/>
        <v>24</v>
      </c>
      <c r="B285" s="1349">
        <v>190200</v>
      </c>
      <c r="C285" s="1354" t="s">
        <v>1786</v>
      </c>
      <c r="D285" s="1350"/>
      <c r="E285" s="1350">
        <v>0</v>
      </c>
      <c r="F285" s="1350">
        <v>0</v>
      </c>
      <c r="G285" s="1350">
        <v>0</v>
      </c>
      <c r="H285" s="1350">
        <v>0</v>
      </c>
      <c r="I285" s="1350"/>
      <c r="J285" s="1352" t="s">
        <v>501</v>
      </c>
      <c r="K285" s="785"/>
    </row>
    <row r="286" spans="1:11" ht="15" customHeight="1">
      <c r="A286" s="618">
        <f t="shared" si="32"/>
        <v>25</v>
      </c>
      <c r="B286" s="1349">
        <v>190200</v>
      </c>
      <c r="C286" s="1354" t="s">
        <v>258</v>
      </c>
      <c r="D286" s="1350">
        <v>0</v>
      </c>
      <c r="E286" s="1350">
        <v>0</v>
      </c>
      <c r="F286" s="1350">
        <v>0</v>
      </c>
      <c r="G286" s="1350">
        <v>0</v>
      </c>
      <c r="H286" s="1350">
        <v>0</v>
      </c>
      <c r="I286" s="1350"/>
      <c r="J286" s="1352" t="s">
        <v>944</v>
      </c>
      <c r="K286" s="785"/>
    </row>
    <row r="287" spans="1:11">
      <c r="A287" s="618">
        <f t="shared" si="32"/>
        <v>26</v>
      </c>
      <c r="B287" s="1349">
        <v>190200</v>
      </c>
      <c r="C287" s="1354" t="s">
        <v>3237</v>
      </c>
      <c r="D287" s="1350">
        <v>0</v>
      </c>
      <c r="E287" s="1350">
        <v>0</v>
      </c>
      <c r="F287" s="1350"/>
      <c r="G287" s="1350"/>
      <c r="H287" s="1350">
        <v>0</v>
      </c>
      <c r="I287" s="1350"/>
      <c r="J287" s="1352" t="s">
        <v>3251</v>
      </c>
      <c r="K287" s="785"/>
    </row>
    <row r="288" spans="1:11" ht="26.4">
      <c r="A288" s="618">
        <f t="shared" si="32"/>
        <v>27</v>
      </c>
      <c r="B288" s="1349">
        <v>190200</v>
      </c>
      <c r="C288" s="1349" t="s">
        <v>3238</v>
      </c>
      <c r="D288" s="1350">
        <v>0</v>
      </c>
      <c r="E288" s="1350">
        <v>0</v>
      </c>
      <c r="F288" s="1350">
        <v>0</v>
      </c>
      <c r="G288" s="1350">
        <v>0</v>
      </c>
      <c r="H288" s="1350">
        <v>0</v>
      </c>
      <c r="I288" s="1351"/>
      <c r="J288" s="1352" t="s">
        <v>3252</v>
      </c>
      <c r="K288" s="785"/>
    </row>
    <row r="289" spans="1:11" ht="15.6" customHeight="1">
      <c r="A289" s="618">
        <f t="shared" si="32"/>
        <v>28</v>
      </c>
      <c r="B289" s="1349">
        <v>190200</v>
      </c>
      <c r="C289" s="1349" t="s">
        <v>1813</v>
      </c>
      <c r="D289" s="1350">
        <v>12792.89</v>
      </c>
      <c r="E289" s="1350">
        <v>12792.89</v>
      </c>
      <c r="F289" s="1350">
        <v>0</v>
      </c>
      <c r="G289" s="1350">
        <v>0</v>
      </c>
      <c r="H289" s="1350">
        <v>0</v>
      </c>
      <c r="I289" s="1351"/>
      <c r="J289" s="1352" t="s">
        <v>1596</v>
      </c>
      <c r="K289" s="785"/>
    </row>
    <row r="290" spans="1:11" ht="26.4">
      <c r="A290" s="618">
        <f t="shared" si="32"/>
        <v>29</v>
      </c>
      <c r="B290" s="1349">
        <v>190200</v>
      </c>
      <c r="C290" s="1349" t="s">
        <v>1659</v>
      </c>
      <c r="D290" s="1350">
        <v>0</v>
      </c>
      <c r="E290" s="1350">
        <v>0</v>
      </c>
      <c r="F290" s="1350">
        <v>0</v>
      </c>
      <c r="G290" s="1350">
        <v>0</v>
      </c>
      <c r="H290" s="1350">
        <v>0</v>
      </c>
      <c r="I290" s="1351"/>
      <c r="J290" s="1352" t="s">
        <v>1597</v>
      </c>
      <c r="K290" s="785"/>
    </row>
    <row r="291" spans="1:11" ht="28.95" customHeight="1">
      <c r="A291" s="618">
        <f t="shared" si="32"/>
        <v>30</v>
      </c>
      <c r="B291" s="1349">
        <v>190200</v>
      </c>
      <c r="C291" s="1349" t="s">
        <v>1769</v>
      </c>
      <c r="D291" s="1350">
        <v>361931.98</v>
      </c>
      <c r="E291" s="1350">
        <v>361931.98</v>
      </c>
      <c r="F291" s="1350">
        <v>0</v>
      </c>
      <c r="G291" s="1350">
        <v>0</v>
      </c>
      <c r="H291" s="1350">
        <v>0</v>
      </c>
      <c r="I291" s="1351"/>
      <c r="J291" s="1352" t="s">
        <v>1589</v>
      </c>
      <c r="K291" s="785"/>
    </row>
    <row r="292" spans="1:11" ht="26.4">
      <c r="A292" s="618">
        <f t="shared" si="32"/>
        <v>31</v>
      </c>
      <c r="B292" s="1349">
        <v>190200</v>
      </c>
      <c r="C292" s="1349" t="s">
        <v>3239</v>
      </c>
      <c r="D292" s="1350">
        <v>0</v>
      </c>
      <c r="E292" s="1350">
        <v>0</v>
      </c>
      <c r="F292" s="1350">
        <v>0</v>
      </c>
      <c r="G292" s="1350">
        <v>0</v>
      </c>
      <c r="H292" s="1350">
        <v>0</v>
      </c>
      <c r="I292" s="1351"/>
      <c r="J292" s="1352" t="s">
        <v>3253</v>
      </c>
      <c r="K292" s="785"/>
    </row>
    <row r="293" spans="1:11" ht="0.6" customHeight="1">
      <c r="A293" s="618" t="s">
        <v>476</v>
      </c>
      <c r="B293" s="549" t="s">
        <v>476</v>
      </c>
      <c r="C293" s="549"/>
      <c r="D293" s="550"/>
      <c r="E293" s="544" t="s">
        <v>476</v>
      </c>
      <c r="F293" s="544" t="s">
        <v>476</v>
      </c>
      <c r="G293" s="544" t="s">
        <v>476</v>
      </c>
      <c r="H293" s="544" t="s">
        <v>476</v>
      </c>
      <c r="I293" s="551"/>
      <c r="J293" s="552"/>
      <c r="K293" s="785"/>
    </row>
    <row r="294" spans="1:11" ht="20.399999999999999">
      <c r="A294" s="1740" t="str">
        <f>A253</f>
        <v>WORKSHEET A (EKC), ADIT ACCOUNT 190</v>
      </c>
      <c r="B294" s="1740"/>
      <c r="C294" s="1741"/>
      <c r="D294" s="1741"/>
      <c r="E294" s="1741"/>
      <c r="F294" s="1741"/>
      <c r="G294" s="1741"/>
      <c r="H294" s="1741"/>
      <c r="I294" s="1741"/>
      <c r="J294" s="1741"/>
    </row>
    <row r="295" spans="1:11" ht="19.2">
      <c r="A295" s="1742" t="str">
        <f>A2</f>
        <v>For Contract Year Beginning June 1, 2024, Based on 2023 Data</v>
      </c>
      <c r="B295" s="1742"/>
      <c r="C295" s="1743"/>
      <c r="D295" s="1743"/>
      <c r="E295" s="1743"/>
      <c r="F295" s="1743"/>
      <c r="G295" s="1743"/>
      <c r="H295" s="1743"/>
      <c r="I295" s="1743"/>
      <c r="J295" s="1743"/>
    </row>
    <row r="296" spans="1:11" ht="12.75" customHeight="1">
      <c r="H296" s="507"/>
    </row>
    <row r="297" spans="1:11" ht="15.6">
      <c r="C297" s="507"/>
      <c r="D297" s="488" t="s">
        <v>480</v>
      </c>
      <c r="E297" s="488" t="s">
        <v>481</v>
      </c>
      <c r="F297" s="488" t="s">
        <v>482</v>
      </c>
      <c r="G297" s="488" t="s">
        <v>483</v>
      </c>
      <c r="H297" s="488" t="s">
        <v>484</v>
      </c>
      <c r="I297" s="488" t="s">
        <v>884</v>
      </c>
      <c r="J297" s="488" t="s">
        <v>485</v>
      </c>
    </row>
    <row r="298" spans="1:11" ht="15.6" customHeight="1">
      <c r="D298" s="495"/>
      <c r="E298" s="491" t="s">
        <v>789</v>
      </c>
      <c r="F298" s="491" t="s">
        <v>789</v>
      </c>
      <c r="G298" s="488"/>
      <c r="H298" s="488"/>
      <c r="I298" s="488" t="s">
        <v>468</v>
      </c>
      <c r="J298" s="489" t="s">
        <v>476</v>
      </c>
    </row>
    <row r="299" spans="1:11" ht="15.6" customHeight="1">
      <c r="D299" s="489" t="s">
        <v>476</v>
      </c>
      <c r="E299" s="488" t="s">
        <v>1231</v>
      </c>
      <c r="F299" s="488" t="s">
        <v>1232</v>
      </c>
      <c r="G299" s="488" t="s">
        <v>477</v>
      </c>
      <c r="H299" s="488" t="s">
        <v>478</v>
      </c>
      <c r="I299" s="488" t="s">
        <v>1079</v>
      </c>
      <c r="J299" s="489" t="s">
        <v>486</v>
      </c>
    </row>
    <row r="300" spans="1:11" ht="15.6" customHeight="1">
      <c r="D300" s="489" t="s">
        <v>487</v>
      </c>
      <c r="E300" s="488" t="s">
        <v>479</v>
      </c>
      <c r="F300" s="488" t="s">
        <v>479</v>
      </c>
      <c r="G300" s="488" t="s">
        <v>479</v>
      </c>
      <c r="H300" s="488" t="s">
        <v>479</v>
      </c>
      <c r="I300" s="488" t="s">
        <v>299</v>
      </c>
      <c r="J300" s="489" t="s">
        <v>300</v>
      </c>
    </row>
    <row r="301" spans="1:11" ht="12.75" customHeight="1">
      <c r="A301" s="499" t="s">
        <v>531</v>
      </c>
      <c r="B301" s="500" t="s">
        <v>1078</v>
      </c>
      <c r="C301" s="501" t="s">
        <v>880</v>
      </c>
      <c r="G301" s="510"/>
      <c r="H301" s="510"/>
    </row>
    <row r="302" spans="1:11" ht="26.4">
      <c r="A302" s="618">
        <f>A292+1</f>
        <v>32</v>
      </c>
      <c r="B302" s="1349">
        <v>190200</v>
      </c>
      <c r="C302" s="1349" t="s">
        <v>1770</v>
      </c>
      <c r="D302" s="1350">
        <v>2131601.34</v>
      </c>
      <c r="E302" s="1350">
        <v>2131601.34</v>
      </c>
      <c r="F302" s="1350">
        <v>0</v>
      </c>
      <c r="G302" s="1350">
        <v>0</v>
      </c>
      <c r="H302" s="1350">
        <v>0</v>
      </c>
      <c r="I302" s="1351"/>
      <c r="J302" s="1352" t="s">
        <v>1051</v>
      </c>
    </row>
    <row r="303" spans="1:11" ht="26.4">
      <c r="A303" s="618">
        <f>A302+1</f>
        <v>33</v>
      </c>
      <c r="B303" s="1349">
        <v>190200</v>
      </c>
      <c r="C303" s="1349" t="s">
        <v>1052</v>
      </c>
      <c r="D303" s="1350">
        <v>0</v>
      </c>
      <c r="E303" s="1350">
        <v>0</v>
      </c>
      <c r="F303" s="1350">
        <v>0</v>
      </c>
      <c r="G303" s="1350">
        <v>0</v>
      </c>
      <c r="H303" s="1350">
        <v>0</v>
      </c>
      <c r="I303" s="1351"/>
      <c r="J303" s="1352" t="s">
        <v>1053</v>
      </c>
    </row>
    <row r="304" spans="1:11">
      <c r="A304" s="618">
        <f t="shared" ref="A304:A332" si="33">A303+1</f>
        <v>34</v>
      </c>
      <c r="B304" s="1349">
        <v>190200</v>
      </c>
      <c r="C304" s="1349" t="s">
        <v>273</v>
      </c>
      <c r="D304" s="1350">
        <v>10955.88</v>
      </c>
      <c r="E304" s="1350">
        <v>0</v>
      </c>
      <c r="F304" s="1350">
        <v>10955.88</v>
      </c>
      <c r="G304" s="1350">
        <v>0</v>
      </c>
      <c r="H304" s="1350">
        <v>0</v>
      </c>
      <c r="I304" s="1351"/>
      <c r="J304" s="1352" t="s">
        <v>1014</v>
      </c>
    </row>
    <row r="305" spans="1:10" ht="26.4">
      <c r="A305" s="618">
        <f t="shared" si="33"/>
        <v>35</v>
      </c>
      <c r="B305" s="1349">
        <v>190200</v>
      </c>
      <c r="C305" s="1349" t="s">
        <v>1015</v>
      </c>
      <c r="D305" s="1350">
        <v>6450899.3600000003</v>
      </c>
      <c r="E305" s="1350">
        <v>6450899.3600000003</v>
      </c>
      <c r="F305" s="1350">
        <v>0</v>
      </c>
      <c r="G305" s="1350">
        <v>0</v>
      </c>
      <c r="H305" s="1350">
        <v>0</v>
      </c>
      <c r="I305" s="1351"/>
      <c r="J305" s="1352" t="s">
        <v>1016</v>
      </c>
    </row>
    <row r="306" spans="1:10" ht="26.4">
      <c r="A306" s="618">
        <f t="shared" si="33"/>
        <v>36</v>
      </c>
      <c r="B306" s="1349">
        <v>190200</v>
      </c>
      <c r="C306" s="1349" t="s">
        <v>1017</v>
      </c>
      <c r="D306" s="1350">
        <v>-2647739.25</v>
      </c>
      <c r="E306" s="1350">
        <v>-2647739.25</v>
      </c>
      <c r="F306" s="1350">
        <v>0</v>
      </c>
      <c r="G306" s="1350">
        <v>0</v>
      </c>
      <c r="H306" s="1350">
        <v>0</v>
      </c>
      <c r="I306" s="1351"/>
      <c r="J306" s="1352" t="s">
        <v>1018</v>
      </c>
    </row>
    <row r="307" spans="1:10" ht="26.4">
      <c r="A307" s="618">
        <f t="shared" si="33"/>
        <v>37</v>
      </c>
      <c r="B307" s="1349">
        <v>190200</v>
      </c>
      <c r="C307" s="1349" t="s">
        <v>3240</v>
      </c>
      <c r="D307" s="1350">
        <v>0</v>
      </c>
      <c r="E307" s="1350">
        <v>0</v>
      </c>
      <c r="F307" s="1350">
        <v>0</v>
      </c>
      <c r="G307" s="1350">
        <v>0</v>
      </c>
      <c r="H307" s="1350">
        <v>0</v>
      </c>
      <c r="I307" s="1351"/>
      <c r="J307" s="1352" t="s">
        <v>3254</v>
      </c>
    </row>
    <row r="308" spans="1:10" ht="26.4">
      <c r="A308" s="618">
        <f t="shared" si="33"/>
        <v>38</v>
      </c>
      <c r="B308" s="1349">
        <v>190200</v>
      </c>
      <c r="C308" s="1349" t="s">
        <v>500</v>
      </c>
      <c r="D308" s="1350">
        <v>15700.27</v>
      </c>
      <c r="E308" s="1350">
        <v>15700.27</v>
      </c>
      <c r="F308" s="1350">
        <v>0</v>
      </c>
      <c r="G308" s="1350">
        <v>0</v>
      </c>
      <c r="H308" s="1350">
        <v>0</v>
      </c>
      <c r="I308" s="1351"/>
      <c r="J308" s="1352" t="s">
        <v>1233</v>
      </c>
    </row>
    <row r="309" spans="1:10" ht="26.4">
      <c r="A309" s="618">
        <f t="shared" si="33"/>
        <v>39</v>
      </c>
      <c r="B309" s="1349">
        <v>190200</v>
      </c>
      <c r="C309" s="1349" t="s">
        <v>1788</v>
      </c>
      <c r="D309" s="1350">
        <v>489038.64</v>
      </c>
      <c r="E309" s="1350">
        <v>469775.93849999999</v>
      </c>
      <c r="F309" s="1350">
        <v>0</v>
      </c>
      <c r="G309" s="1350">
        <v>0</v>
      </c>
      <c r="H309" s="1350">
        <v>19262.701499999999</v>
      </c>
      <c r="I309" s="1351"/>
      <c r="J309" s="1352" t="s">
        <v>3255</v>
      </c>
    </row>
    <row r="310" spans="1:10" ht="26.4">
      <c r="A310" s="618">
        <f t="shared" si="33"/>
        <v>40</v>
      </c>
      <c r="B310" s="1349">
        <v>190200</v>
      </c>
      <c r="C310" s="1349" t="s">
        <v>1810</v>
      </c>
      <c r="D310" s="1350">
        <v>2659117.5</v>
      </c>
      <c r="E310" s="1350">
        <v>2659117.5</v>
      </c>
      <c r="F310" s="1350">
        <v>0</v>
      </c>
      <c r="G310" s="1350">
        <v>0</v>
      </c>
      <c r="H310" s="1350">
        <v>0</v>
      </c>
      <c r="I310" s="1351"/>
      <c r="J310" s="1352" t="s">
        <v>502</v>
      </c>
    </row>
    <row r="311" spans="1:10" ht="26.4">
      <c r="A311" s="618">
        <f t="shared" si="33"/>
        <v>41</v>
      </c>
      <c r="B311" s="1349">
        <v>190200</v>
      </c>
      <c r="C311" s="1349" t="s">
        <v>1814</v>
      </c>
      <c r="D311" s="1350">
        <v>-235874.35</v>
      </c>
      <c r="E311" s="1350">
        <v>-235874.35</v>
      </c>
      <c r="F311" s="1350">
        <v>0</v>
      </c>
      <c r="G311" s="1350">
        <v>0</v>
      </c>
      <c r="H311" s="1350">
        <v>0</v>
      </c>
      <c r="I311" s="1351"/>
      <c r="J311" s="1352" t="s">
        <v>503</v>
      </c>
    </row>
    <row r="312" spans="1:10">
      <c r="A312" s="618">
        <f t="shared" si="33"/>
        <v>42</v>
      </c>
      <c r="B312" s="1349">
        <v>190200</v>
      </c>
      <c r="C312" s="1349" t="s">
        <v>3241</v>
      </c>
      <c r="D312" s="1350">
        <v>0</v>
      </c>
      <c r="E312" s="1350">
        <v>0</v>
      </c>
      <c r="F312" s="1350">
        <v>0</v>
      </c>
      <c r="G312" s="1350">
        <v>0</v>
      </c>
      <c r="H312" s="1350">
        <v>0</v>
      </c>
      <c r="I312" s="1351"/>
      <c r="J312" s="1352" t="s">
        <v>3256</v>
      </c>
    </row>
    <row r="313" spans="1:10" ht="26.4">
      <c r="A313" s="618">
        <f t="shared" si="33"/>
        <v>43</v>
      </c>
      <c r="B313" s="1349">
        <v>190200</v>
      </c>
      <c r="C313" s="1354" t="s">
        <v>2858</v>
      </c>
      <c r="D313" s="1350"/>
      <c r="E313" s="1350">
        <v>0</v>
      </c>
      <c r="F313" s="1350">
        <v>0</v>
      </c>
      <c r="G313" s="1350">
        <v>0</v>
      </c>
      <c r="H313" s="1350">
        <v>0</v>
      </c>
      <c r="I313" s="1351"/>
      <c r="J313" s="1352" t="s">
        <v>2859</v>
      </c>
    </row>
    <row r="314" spans="1:10">
      <c r="A314" s="618">
        <f t="shared" si="33"/>
        <v>44</v>
      </c>
      <c r="B314" s="1349">
        <v>190200</v>
      </c>
      <c r="C314" s="1349" t="s">
        <v>945</v>
      </c>
      <c r="D314" s="1350">
        <v>1133375.53</v>
      </c>
      <c r="E314" s="1350">
        <v>1133375.53</v>
      </c>
      <c r="F314" s="1350">
        <v>0</v>
      </c>
      <c r="G314" s="1350">
        <v>0</v>
      </c>
      <c r="H314" s="1350">
        <v>0</v>
      </c>
      <c r="I314" s="1355"/>
      <c r="J314" s="1356" t="s">
        <v>3190</v>
      </c>
    </row>
    <row r="315" spans="1:10">
      <c r="A315" s="618">
        <f t="shared" si="33"/>
        <v>45</v>
      </c>
      <c r="B315" s="1357">
        <v>190200</v>
      </c>
      <c r="C315" s="1358" t="s">
        <v>3242</v>
      </c>
      <c r="D315" s="1350">
        <v>0</v>
      </c>
      <c r="E315" s="1350">
        <v>0</v>
      </c>
      <c r="F315" s="1350">
        <v>0</v>
      </c>
      <c r="G315" s="1350">
        <v>0</v>
      </c>
      <c r="H315" s="1350">
        <v>0</v>
      </c>
      <c r="I315" s="1351"/>
      <c r="J315" s="1352" t="s">
        <v>3242</v>
      </c>
    </row>
    <row r="316" spans="1:10" ht="26.4">
      <c r="A316" s="618">
        <f t="shared" si="33"/>
        <v>46</v>
      </c>
      <c r="B316" s="1357">
        <v>190200</v>
      </c>
      <c r="C316" s="1358" t="s">
        <v>1054</v>
      </c>
      <c r="D316" s="1350">
        <v>404707.08</v>
      </c>
      <c r="E316" s="1350">
        <v>404707.08</v>
      </c>
      <c r="F316" s="1350">
        <v>0</v>
      </c>
      <c r="G316" s="1350">
        <v>0</v>
      </c>
      <c r="H316" s="1350">
        <v>0</v>
      </c>
      <c r="I316" s="1351"/>
      <c r="J316" s="1352" t="s">
        <v>1055</v>
      </c>
    </row>
    <row r="317" spans="1:10" ht="26.4">
      <c r="A317" s="618">
        <f t="shared" si="33"/>
        <v>47</v>
      </c>
      <c r="B317" s="1357">
        <v>190200</v>
      </c>
      <c r="C317" s="1358" t="s">
        <v>1056</v>
      </c>
      <c r="D317" s="1350">
        <v>59700.35</v>
      </c>
      <c r="E317" s="1350">
        <v>59700.35</v>
      </c>
      <c r="F317" s="1350">
        <v>0</v>
      </c>
      <c r="G317" s="1350">
        <v>0</v>
      </c>
      <c r="H317" s="1350">
        <v>0</v>
      </c>
      <c r="I317" s="1351"/>
      <c r="J317" s="1352" t="s">
        <v>1057</v>
      </c>
    </row>
    <row r="318" spans="1:10">
      <c r="A318" s="618">
        <f t="shared" si="33"/>
        <v>48</v>
      </c>
      <c r="B318" s="1357">
        <v>190200</v>
      </c>
      <c r="C318" s="1358" t="s">
        <v>3431</v>
      </c>
      <c r="D318" s="1350">
        <v>2652340.0499999998</v>
      </c>
      <c r="E318" s="1350">
        <v>2652340.0499999998</v>
      </c>
      <c r="F318" s="1350">
        <v>0</v>
      </c>
      <c r="G318" s="1350">
        <v>0</v>
      </c>
      <c r="H318" s="1350">
        <v>0</v>
      </c>
      <c r="I318" s="1351"/>
      <c r="J318" s="1352" t="s">
        <v>3432</v>
      </c>
    </row>
    <row r="319" spans="1:10">
      <c r="A319" s="618">
        <f t="shared" si="33"/>
        <v>49</v>
      </c>
      <c r="B319" s="1357">
        <v>190200</v>
      </c>
      <c r="C319" s="1358" t="s">
        <v>3602</v>
      </c>
      <c r="D319" s="1350">
        <v>368580.93</v>
      </c>
      <c r="E319" s="1350">
        <v>368580.93</v>
      </c>
      <c r="F319" s="1350">
        <v>0</v>
      </c>
      <c r="G319" s="1350">
        <v>0</v>
      </c>
      <c r="H319" s="1350">
        <v>0</v>
      </c>
      <c r="I319" s="1351"/>
      <c r="J319" s="1356" t="s">
        <v>3603</v>
      </c>
    </row>
    <row r="320" spans="1:10">
      <c r="A320" s="618">
        <f t="shared" si="33"/>
        <v>50</v>
      </c>
      <c r="B320" s="1357">
        <v>190200</v>
      </c>
      <c r="C320" s="1358" t="s">
        <v>3433</v>
      </c>
      <c r="D320" s="1350">
        <v>835414.78</v>
      </c>
      <c r="E320" s="1350">
        <v>835414.78</v>
      </c>
      <c r="F320" s="1350">
        <v>0</v>
      </c>
      <c r="G320" s="1350">
        <v>0</v>
      </c>
      <c r="H320" s="1350">
        <v>0</v>
      </c>
      <c r="I320" s="1351"/>
      <c r="J320" s="1356" t="s">
        <v>3434</v>
      </c>
    </row>
    <row r="321" spans="1:10">
      <c r="A321" s="618">
        <f t="shared" si="33"/>
        <v>51</v>
      </c>
      <c r="B321" s="1357">
        <v>190200</v>
      </c>
      <c r="C321" s="1358" t="s">
        <v>3435</v>
      </c>
      <c r="D321" s="1350">
        <v>1212868.3999999999</v>
      </c>
      <c r="E321" s="1350">
        <v>1212868.3999999999</v>
      </c>
      <c r="F321" s="1350">
        <v>0</v>
      </c>
      <c r="G321" s="1350">
        <v>0</v>
      </c>
      <c r="H321" s="1350">
        <v>0</v>
      </c>
      <c r="I321" s="1351"/>
      <c r="J321" s="1356" t="s">
        <v>3436</v>
      </c>
    </row>
    <row r="322" spans="1:10" ht="26.4">
      <c r="A322" s="618">
        <f t="shared" si="33"/>
        <v>52</v>
      </c>
      <c r="B322" s="1357">
        <v>190200</v>
      </c>
      <c r="C322" s="1358" t="s">
        <v>3243</v>
      </c>
      <c r="D322" s="1350">
        <v>8002886.2199999997</v>
      </c>
      <c r="E322" s="1350">
        <v>8002886.2199999997</v>
      </c>
      <c r="F322" s="1350">
        <v>0</v>
      </c>
      <c r="G322" s="1350">
        <v>0</v>
      </c>
      <c r="H322" s="1350">
        <v>0</v>
      </c>
      <c r="I322" s="1351"/>
      <c r="J322" s="1352" t="s">
        <v>3191</v>
      </c>
    </row>
    <row r="323" spans="1:10" ht="26.4">
      <c r="A323" s="618">
        <f t="shared" si="33"/>
        <v>53</v>
      </c>
      <c r="B323" s="1357">
        <v>190200</v>
      </c>
      <c r="C323" s="1358" t="s">
        <v>3142</v>
      </c>
      <c r="D323" s="1350">
        <v>8529731.8000000007</v>
      </c>
      <c r="E323" s="1350">
        <v>8529731.8000000007</v>
      </c>
      <c r="F323" s="1350">
        <v>0</v>
      </c>
      <c r="G323" s="1350">
        <v>0</v>
      </c>
      <c r="H323" s="1350">
        <v>0</v>
      </c>
      <c r="I323" s="1351"/>
      <c r="J323" s="1352" t="s">
        <v>3192</v>
      </c>
    </row>
    <row r="324" spans="1:10" ht="26.4">
      <c r="A324" s="618">
        <f t="shared" si="33"/>
        <v>54</v>
      </c>
      <c r="B324" s="1357">
        <v>190200</v>
      </c>
      <c r="C324" s="1358" t="s">
        <v>3244</v>
      </c>
      <c r="D324" s="1350">
        <v>0</v>
      </c>
      <c r="E324" s="1350">
        <v>0</v>
      </c>
      <c r="F324" s="1350">
        <v>0</v>
      </c>
      <c r="G324" s="1350">
        <v>0</v>
      </c>
      <c r="H324" s="1350">
        <v>0</v>
      </c>
      <c r="I324" s="1351"/>
      <c r="J324" s="1352" t="s">
        <v>3257</v>
      </c>
    </row>
    <row r="325" spans="1:10" ht="26.4">
      <c r="A325" s="618">
        <f t="shared" si="33"/>
        <v>55</v>
      </c>
      <c r="B325" s="1357">
        <v>190200</v>
      </c>
      <c r="C325" s="1358" t="s">
        <v>1058</v>
      </c>
      <c r="D325" s="1350">
        <v>81545.34</v>
      </c>
      <c r="E325" s="1350">
        <v>81545.34</v>
      </c>
      <c r="F325" s="1350">
        <v>0</v>
      </c>
      <c r="G325" s="1350">
        <v>0</v>
      </c>
      <c r="H325" s="1350">
        <v>0</v>
      </c>
      <c r="I325" s="1351"/>
      <c r="J325" s="1352" t="s">
        <v>1059</v>
      </c>
    </row>
    <row r="326" spans="1:10" ht="26.4">
      <c r="A326" s="618">
        <f t="shared" si="33"/>
        <v>56</v>
      </c>
      <c r="B326" s="1357">
        <v>190200</v>
      </c>
      <c r="C326" s="1358" t="s">
        <v>1627</v>
      </c>
      <c r="D326" s="1350">
        <v>2165.87</v>
      </c>
      <c r="E326" s="1350">
        <v>2165.87</v>
      </c>
      <c r="F326" s="1350">
        <v>0</v>
      </c>
      <c r="G326" s="1350">
        <v>0</v>
      </c>
      <c r="H326" s="1350">
        <v>0</v>
      </c>
      <c r="I326" s="1351"/>
      <c r="J326" s="1352" t="s">
        <v>1773</v>
      </c>
    </row>
    <row r="327" spans="1:10" ht="26.4">
      <c r="A327" s="618">
        <f t="shared" si="33"/>
        <v>57</v>
      </c>
      <c r="B327" s="1357">
        <v>190200</v>
      </c>
      <c r="C327" s="1358" t="s">
        <v>3245</v>
      </c>
      <c r="D327" s="1350">
        <v>0</v>
      </c>
      <c r="E327" s="1350">
        <v>0</v>
      </c>
      <c r="F327" s="1350">
        <v>0</v>
      </c>
      <c r="G327" s="1350">
        <v>0</v>
      </c>
      <c r="H327" s="1350">
        <v>0</v>
      </c>
      <c r="I327" s="1351"/>
      <c r="J327" s="1352" t="s">
        <v>3258</v>
      </c>
    </row>
    <row r="328" spans="1:10" ht="39.6">
      <c r="A328" s="618">
        <f t="shared" si="33"/>
        <v>58</v>
      </c>
      <c r="B328" s="1357">
        <v>190200</v>
      </c>
      <c r="C328" s="1358" t="s">
        <v>635</v>
      </c>
      <c r="D328" s="1350">
        <v>2593.4299999999998</v>
      </c>
      <c r="E328" s="1350">
        <v>2593.4299999999998</v>
      </c>
      <c r="F328" s="1350">
        <v>0</v>
      </c>
      <c r="G328" s="1350">
        <v>0</v>
      </c>
      <c r="H328" s="1350">
        <v>0</v>
      </c>
      <c r="I328" s="1351"/>
      <c r="J328" s="1352" t="s">
        <v>2599</v>
      </c>
    </row>
    <row r="329" spans="1:10">
      <c r="A329" s="618">
        <f t="shared" si="33"/>
        <v>59</v>
      </c>
      <c r="B329" s="1357">
        <v>190200</v>
      </c>
      <c r="C329" s="1358" t="s">
        <v>2961</v>
      </c>
      <c r="D329" s="1350">
        <v>4753413</v>
      </c>
      <c r="E329" s="1350">
        <v>4753413</v>
      </c>
      <c r="F329" s="1350">
        <v>0</v>
      </c>
      <c r="G329" s="1350">
        <v>0</v>
      </c>
      <c r="H329" s="1350">
        <v>0</v>
      </c>
      <c r="I329" s="1351"/>
      <c r="J329" s="1352" t="s">
        <v>2962</v>
      </c>
    </row>
    <row r="330" spans="1:10">
      <c r="A330" s="618">
        <f t="shared" si="33"/>
        <v>60</v>
      </c>
      <c r="B330" s="1357"/>
      <c r="C330" s="1358"/>
      <c r="D330" s="1350"/>
      <c r="E330" s="1350"/>
      <c r="F330" s="1350"/>
      <c r="G330" s="1350"/>
      <c r="H330" s="1350"/>
      <c r="I330" s="1351"/>
      <c r="J330" s="1352"/>
    </row>
    <row r="331" spans="1:10">
      <c r="A331" s="618">
        <f t="shared" si="33"/>
        <v>61</v>
      </c>
      <c r="B331" s="1357">
        <v>190200</v>
      </c>
      <c r="C331" s="1358" t="s">
        <v>3143</v>
      </c>
      <c r="D331" s="1350"/>
      <c r="E331" s="1350"/>
      <c r="F331" s="1350"/>
      <c r="G331" s="1350"/>
      <c r="H331" s="1350"/>
      <c r="I331" s="1351"/>
      <c r="J331" s="1352" t="s">
        <v>3259</v>
      </c>
    </row>
    <row r="332" spans="1:10">
      <c r="A332" s="618">
        <f t="shared" si="33"/>
        <v>62</v>
      </c>
      <c r="B332" s="1357">
        <v>190200</v>
      </c>
      <c r="C332" s="1358" t="s">
        <v>3144</v>
      </c>
      <c r="D332" s="1350">
        <v>19830209.800000001</v>
      </c>
      <c r="E332" s="1350">
        <v>18797826.559999999</v>
      </c>
      <c r="F332" s="1350">
        <v>-152664.94</v>
      </c>
      <c r="G332" s="1350">
        <v>74667.28</v>
      </c>
      <c r="H332" s="1350">
        <v>1110380.8600000001</v>
      </c>
      <c r="I332" s="1351"/>
      <c r="J332" s="1352" t="s">
        <v>3193</v>
      </c>
    </row>
    <row r="333" spans="1:10" ht="20.25" customHeight="1">
      <c r="A333" s="618" t="s">
        <v>476</v>
      </c>
      <c r="B333" s="1359"/>
      <c r="C333" s="1360" t="s">
        <v>504</v>
      </c>
      <c r="D333" s="1361"/>
      <c r="E333" s="1350"/>
      <c r="F333" s="1350"/>
      <c r="G333" s="1350"/>
      <c r="H333" s="1350"/>
      <c r="I333" s="1362"/>
      <c r="J333" s="1363"/>
    </row>
    <row r="334" spans="1:10" ht="12.75" customHeight="1">
      <c r="A334" s="618">
        <f>+A332+1</f>
        <v>63</v>
      </c>
      <c r="B334" s="1364">
        <v>190205</v>
      </c>
      <c r="C334" s="1349" t="s">
        <v>1631</v>
      </c>
      <c r="D334" s="1350">
        <v>9690579.5399999991</v>
      </c>
      <c r="E334" s="1350">
        <v>9690579.5399999991</v>
      </c>
      <c r="F334" s="1350">
        <v>0</v>
      </c>
      <c r="G334" s="1350">
        <v>0</v>
      </c>
      <c r="H334" s="1350">
        <v>0</v>
      </c>
      <c r="I334" s="1349"/>
      <c r="J334" s="1352" t="s">
        <v>1408</v>
      </c>
    </row>
    <row r="335" spans="1:10" ht="12.75" customHeight="1">
      <c r="A335" s="618">
        <f t="shared" ref="A335:A355" si="34">+A334+1</f>
        <v>64</v>
      </c>
      <c r="B335" s="1364">
        <v>190205</v>
      </c>
      <c r="C335" s="1349" t="s">
        <v>505</v>
      </c>
      <c r="D335" s="1350">
        <v>3713019.02</v>
      </c>
      <c r="E335" s="1365">
        <v>3713019.02</v>
      </c>
      <c r="F335" s="1350">
        <v>0</v>
      </c>
      <c r="G335" s="1350">
        <v>0</v>
      </c>
      <c r="H335" s="1350">
        <v>0</v>
      </c>
      <c r="I335" s="1351"/>
      <c r="J335" s="1352" t="s">
        <v>1408</v>
      </c>
    </row>
    <row r="336" spans="1:10" ht="12.75" customHeight="1">
      <c r="A336" s="618">
        <f t="shared" si="34"/>
        <v>65</v>
      </c>
      <c r="B336" s="1364">
        <v>190205</v>
      </c>
      <c r="C336" s="1349" t="s">
        <v>662</v>
      </c>
      <c r="D336" s="1350">
        <v>-955424.48</v>
      </c>
      <c r="E336" s="1365">
        <v>-955424.48</v>
      </c>
      <c r="F336" s="1350">
        <v>0</v>
      </c>
      <c r="G336" s="1350">
        <v>0</v>
      </c>
      <c r="H336" s="1350">
        <v>0</v>
      </c>
      <c r="I336" s="1351"/>
      <c r="J336" s="1352" t="s">
        <v>1408</v>
      </c>
    </row>
    <row r="337" spans="1:10" ht="12.75" customHeight="1">
      <c r="A337" s="618">
        <f t="shared" si="34"/>
        <v>66</v>
      </c>
      <c r="B337" s="1364">
        <v>190205</v>
      </c>
      <c r="C337" s="1349" t="s">
        <v>1811</v>
      </c>
      <c r="D337" s="1350">
        <v>-414824.66000000003</v>
      </c>
      <c r="E337" s="1365">
        <v>-414824.66000000003</v>
      </c>
      <c r="F337" s="1350">
        <v>0</v>
      </c>
      <c r="G337" s="1350">
        <v>0</v>
      </c>
      <c r="H337" s="1350">
        <v>0</v>
      </c>
      <c r="I337" s="1351"/>
      <c r="J337" s="1352" t="s">
        <v>1408</v>
      </c>
    </row>
    <row r="338" spans="1:10" ht="12.75" customHeight="1">
      <c r="A338" s="618">
        <f t="shared" si="34"/>
        <v>67</v>
      </c>
      <c r="B338" s="1364">
        <v>190205</v>
      </c>
      <c r="C338" s="1349" t="s">
        <v>262</v>
      </c>
      <c r="D338" s="1350">
        <v>226312.8</v>
      </c>
      <c r="E338" s="1365">
        <v>226312.8</v>
      </c>
      <c r="F338" s="1350">
        <v>0</v>
      </c>
      <c r="G338" s="1350">
        <v>0</v>
      </c>
      <c r="H338" s="1350">
        <v>0</v>
      </c>
      <c r="I338" s="1351"/>
      <c r="J338" s="1352" t="s">
        <v>1408</v>
      </c>
    </row>
    <row r="339" spans="1:10" ht="12.75" customHeight="1">
      <c r="A339" s="618">
        <f t="shared" si="34"/>
        <v>68</v>
      </c>
      <c r="B339" s="1364">
        <v>190205</v>
      </c>
      <c r="C339" s="1349" t="s">
        <v>1815</v>
      </c>
      <c r="D339" s="1350">
        <v>174419.82</v>
      </c>
      <c r="E339" s="1365">
        <v>174419.82</v>
      </c>
      <c r="F339" s="1350">
        <v>0</v>
      </c>
      <c r="G339" s="1350">
        <v>0</v>
      </c>
      <c r="H339" s="1350">
        <v>0</v>
      </c>
      <c r="I339" s="1351"/>
      <c r="J339" s="1352" t="s">
        <v>1408</v>
      </c>
    </row>
    <row r="340" spans="1:10" ht="12.75" customHeight="1">
      <c r="A340" s="618">
        <f t="shared" si="34"/>
        <v>69</v>
      </c>
      <c r="B340" s="1364">
        <v>190205</v>
      </c>
      <c r="C340" s="1349" t="s">
        <v>263</v>
      </c>
      <c r="D340" s="1350">
        <v>0</v>
      </c>
      <c r="E340" s="1365">
        <v>0</v>
      </c>
      <c r="F340" s="1350">
        <v>0</v>
      </c>
      <c r="G340" s="1350">
        <v>0</v>
      </c>
      <c r="H340" s="1350">
        <v>0</v>
      </c>
      <c r="I340" s="1351"/>
      <c r="J340" s="1352" t="s">
        <v>1408</v>
      </c>
    </row>
    <row r="341" spans="1:10" ht="12.75" customHeight="1">
      <c r="A341" s="618">
        <f t="shared" si="34"/>
        <v>70</v>
      </c>
      <c r="B341" s="1364">
        <v>190205</v>
      </c>
      <c r="C341" s="1349" t="s">
        <v>3437</v>
      </c>
      <c r="D341" s="1350">
        <v>0</v>
      </c>
      <c r="E341" s="1365">
        <v>0</v>
      </c>
      <c r="F341" s="1350"/>
      <c r="G341" s="1350"/>
      <c r="H341" s="1350"/>
      <c r="I341" s="1351"/>
      <c r="J341" s="1352" t="s">
        <v>1408</v>
      </c>
    </row>
    <row r="342" spans="1:10" ht="12.75" customHeight="1">
      <c r="A342" s="618">
        <f t="shared" si="34"/>
        <v>71</v>
      </c>
      <c r="B342" s="1364">
        <v>190205</v>
      </c>
      <c r="C342" s="1349" t="s">
        <v>1658</v>
      </c>
      <c r="D342" s="1350">
        <v>0</v>
      </c>
      <c r="E342" s="1365">
        <v>0</v>
      </c>
      <c r="F342" s="1350">
        <v>0</v>
      </c>
      <c r="G342" s="1350">
        <v>0</v>
      </c>
      <c r="H342" s="1350">
        <v>0</v>
      </c>
      <c r="I342" s="1351"/>
      <c r="J342" s="1352" t="s">
        <v>1408</v>
      </c>
    </row>
    <row r="343" spans="1:10" ht="12.75" customHeight="1">
      <c r="A343" s="618">
        <f t="shared" si="34"/>
        <v>72</v>
      </c>
      <c r="B343" s="1364">
        <v>190205</v>
      </c>
      <c r="C343" s="1349" t="s">
        <v>797</v>
      </c>
      <c r="D343" s="1350">
        <v>57369.49</v>
      </c>
      <c r="E343" s="1365">
        <v>57369.49</v>
      </c>
      <c r="F343" s="1350">
        <v>0</v>
      </c>
      <c r="G343" s="1350">
        <v>0</v>
      </c>
      <c r="H343" s="1350">
        <v>0</v>
      </c>
      <c r="I343" s="1351"/>
      <c r="J343" s="1352" t="s">
        <v>1408</v>
      </c>
    </row>
    <row r="344" spans="1:10" ht="12.75" customHeight="1">
      <c r="A344" s="618">
        <f t="shared" si="34"/>
        <v>73</v>
      </c>
      <c r="B344" s="1364">
        <v>190201</v>
      </c>
      <c r="C344" s="1349" t="s">
        <v>3246</v>
      </c>
      <c r="D344" s="1350">
        <v>57513238.520000003</v>
      </c>
      <c r="E344" s="1365">
        <v>57513238.520000003</v>
      </c>
      <c r="F344" s="1350">
        <v>0</v>
      </c>
      <c r="G344" s="1350">
        <v>0</v>
      </c>
      <c r="H344" s="1350">
        <v>0</v>
      </c>
      <c r="I344" s="1351"/>
      <c r="J344" s="1352" t="s">
        <v>3260</v>
      </c>
    </row>
    <row r="345" spans="1:10">
      <c r="A345" s="618">
        <f t="shared" si="34"/>
        <v>74</v>
      </c>
      <c r="B345" s="1357">
        <v>190300</v>
      </c>
      <c r="C345" s="1358" t="s">
        <v>3145</v>
      </c>
      <c r="D345" s="1350">
        <v>21834046.75</v>
      </c>
      <c r="E345" s="1350">
        <v>0</v>
      </c>
      <c r="F345" s="1350">
        <v>0</v>
      </c>
      <c r="G345" s="1350">
        <v>21834046.75</v>
      </c>
      <c r="H345" s="1350">
        <v>0</v>
      </c>
      <c r="I345" s="1351"/>
      <c r="J345" s="1352" t="s">
        <v>3146</v>
      </c>
    </row>
    <row r="346" spans="1:10">
      <c r="A346" s="618">
        <f t="shared" si="34"/>
        <v>75</v>
      </c>
      <c r="B346" s="1349">
        <v>190301</v>
      </c>
      <c r="C346" s="1358" t="s">
        <v>3147</v>
      </c>
      <c r="D346" s="1350">
        <v>17584982.829999998</v>
      </c>
      <c r="E346" s="1350">
        <v>0</v>
      </c>
      <c r="F346" s="1350">
        <v>0</v>
      </c>
      <c r="G346" s="1350">
        <v>17584982.829999998</v>
      </c>
      <c r="H346" s="1350">
        <v>0</v>
      </c>
      <c r="I346" s="1351"/>
      <c r="J346" s="1352" t="s">
        <v>3148</v>
      </c>
    </row>
    <row r="347" spans="1:10">
      <c r="A347" s="618">
        <f t="shared" si="34"/>
        <v>76</v>
      </c>
      <c r="B347" s="1349">
        <v>190350</v>
      </c>
      <c r="C347" s="1349" t="s">
        <v>3604</v>
      </c>
      <c r="D347" s="1350">
        <v>-3399506.98</v>
      </c>
      <c r="E347" s="1350">
        <v>-3399506.98</v>
      </c>
      <c r="F347" s="1350">
        <v>0</v>
      </c>
      <c r="G347" s="1350">
        <v>0</v>
      </c>
      <c r="H347" s="1350">
        <v>0</v>
      </c>
      <c r="I347" s="1351"/>
      <c r="J347" s="1352" t="s">
        <v>3605</v>
      </c>
    </row>
    <row r="348" spans="1:10">
      <c r="A348" s="618">
        <f t="shared" si="34"/>
        <v>77</v>
      </c>
      <c r="B348" s="1364">
        <v>190500</v>
      </c>
      <c r="C348" s="1349" t="s">
        <v>1235</v>
      </c>
      <c r="D348" s="1350">
        <v>240494535.58000001</v>
      </c>
      <c r="E348" s="1365">
        <v>240494535.58000001</v>
      </c>
      <c r="F348" s="1350">
        <v>0</v>
      </c>
      <c r="G348" s="1350">
        <v>0</v>
      </c>
      <c r="H348" s="1350">
        <v>0</v>
      </c>
      <c r="I348" s="1351"/>
      <c r="J348" s="1352" t="s">
        <v>1236</v>
      </c>
    </row>
    <row r="349" spans="1:10">
      <c r="A349" s="618">
        <f t="shared" si="34"/>
        <v>78</v>
      </c>
      <c r="B349" s="1364"/>
      <c r="C349" s="1349"/>
      <c r="D349" s="1350"/>
      <c r="E349" s="1365"/>
      <c r="F349" s="1350"/>
      <c r="G349" s="1350"/>
      <c r="H349" s="1350"/>
      <c r="I349" s="1351"/>
      <c r="J349" s="1352"/>
    </row>
    <row r="350" spans="1:10">
      <c r="A350" s="618">
        <f t="shared" si="34"/>
        <v>79</v>
      </c>
      <c r="B350" s="1364"/>
      <c r="C350" s="1349" t="s">
        <v>2741</v>
      </c>
      <c r="D350" s="1350"/>
      <c r="E350" s="1365"/>
      <c r="F350" s="1350"/>
      <c r="G350" s="1350"/>
      <c r="H350" s="1350"/>
      <c r="I350" s="1351"/>
      <c r="J350" s="1352"/>
    </row>
    <row r="351" spans="1:10">
      <c r="A351" s="618">
        <f t="shared" si="34"/>
        <v>80</v>
      </c>
      <c r="B351" s="1364">
        <v>190601</v>
      </c>
      <c r="C351" s="1354" t="s">
        <v>3149</v>
      </c>
      <c r="D351" s="1350">
        <v>93465594.909999996</v>
      </c>
      <c r="E351" s="1365">
        <v>93465594.909999996</v>
      </c>
      <c r="F351" s="1350">
        <v>0</v>
      </c>
      <c r="G351" s="1350">
        <v>0</v>
      </c>
      <c r="H351" s="1350">
        <v>0</v>
      </c>
      <c r="I351" s="1351"/>
      <c r="J351" s="1352" t="s">
        <v>2702</v>
      </c>
    </row>
    <row r="352" spans="1:10">
      <c r="A352" s="618">
        <f t="shared" si="34"/>
        <v>81</v>
      </c>
      <c r="B352" s="1364">
        <v>190602</v>
      </c>
      <c r="C352" s="1354" t="s">
        <v>3150</v>
      </c>
      <c r="D352" s="1350">
        <v>2422209.6800000002</v>
      </c>
      <c r="E352" s="1365">
        <v>2422209.6800000002</v>
      </c>
      <c r="F352" s="1350">
        <v>0</v>
      </c>
      <c r="G352" s="1350">
        <v>0</v>
      </c>
      <c r="H352" s="1350">
        <v>0</v>
      </c>
      <c r="I352" s="1351"/>
      <c r="J352" s="1352" t="s">
        <v>2702</v>
      </c>
    </row>
    <row r="353" spans="1:11">
      <c r="A353" s="618">
        <f t="shared" si="34"/>
        <v>82</v>
      </c>
      <c r="B353" s="1364">
        <v>190603</v>
      </c>
      <c r="C353" s="1354" t="s">
        <v>3151</v>
      </c>
      <c r="D353" s="1350">
        <v>-39419029.579999998</v>
      </c>
      <c r="E353" s="1365">
        <v>-39419029.579999998</v>
      </c>
      <c r="F353" s="1350">
        <v>0</v>
      </c>
      <c r="G353" s="1350">
        <v>0</v>
      </c>
      <c r="H353" s="1350">
        <v>0</v>
      </c>
      <c r="I353" s="1351"/>
      <c r="J353" s="1352" t="s">
        <v>2702</v>
      </c>
    </row>
    <row r="354" spans="1:11">
      <c r="A354" s="618">
        <f t="shared" si="34"/>
        <v>83</v>
      </c>
      <c r="B354" s="1364">
        <v>190604</v>
      </c>
      <c r="C354" s="1354" t="s">
        <v>3152</v>
      </c>
      <c r="D354" s="1350">
        <v>-19830209.800000001</v>
      </c>
      <c r="E354" s="1365">
        <v>-19830209.800000001</v>
      </c>
      <c r="F354" s="1350">
        <v>0</v>
      </c>
      <c r="G354" s="1350">
        <v>0</v>
      </c>
      <c r="H354" s="1350">
        <v>0</v>
      </c>
      <c r="I354" s="1351"/>
      <c r="J354" s="1352" t="s">
        <v>2702</v>
      </c>
    </row>
    <row r="355" spans="1:11">
      <c r="A355" s="618">
        <f t="shared" si="34"/>
        <v>84</v>
      </c>
      <c r="B355" s="1364">
        <v>190200</v>
      </c>
      <c r="C355" s="1354" t="s">
        <v>3247</v>
      </c>
      <c r="D355" s="1350"/>
      <c r="E355" s="1365"/>
      <c r="F355" s="1350"/>
      <c r="G355" s="1350"/>
      <c r="H355" s="1350"/>
      <c r="I355" s="1351"/>
      <c r="J355" s="1352"/>
    </row>
    <row r="356" spans="1:11" ht="12.75" customHeight="1">
      <c r="A356" s="609" t="s">
        <v>476</v>
      </c>
      <c r="C356" s="512"/>
      <c r="E356" s="513"/>
      <c r="F356" s="513"/>
      <c r="G356" s="513"/>
      <c r="H356" s="514"/>
    </row>
    <row r="357" spans="1:11" ht="12.75" customHeight="1">
      <c r="A357" s="504">
        <f>+A355+1</f>
        <v>85</v>
      </c>
      <c r="C357" s="515" t="s">
        <v>2327</v>
      </c>
      <c r="D357" s="1366">
        <f>SUM(D261:D355)</f>
        <v>512963201.7700001</v>
      </c>
      <c r="E357" s="508">
        <f>SUM(E261:E355)</f>
        <v>468244392.24850005</v>
      </c>
      <c r="F357" s="508">
        <f>SUM(F261:F355)</f>
        <v>-141709.06</v>
      </c>
      <c r="G357" s="498">
        <f>SUM(G261:G355)</f>
        <v>39678104.200000003</v>
      </c>
      <c r="H357" s="498">
        <f>SUM(H261:H355)</f>
        <v>5182414.3415000001</v>
      </c>
      <c r="I357" s="516"/>
      <c r="K357" s="528"/>
    </row>
    <row r="358" spans="1:11" ht="12.75" customHeight="1">
      <c r="A358" s="504">
        <f>A357+1</f>
        <v>86</v>
      </c>
      <c r="C358" s="512" t="s">
        <v>507</v>
      </c>
      <c r="D358" s="1165"/>
      <c r="E358" s="1165"/>
      <c r="G358" s="498">
        <v>0</v>
      </c>
      <c r="H358" s="498">
        <v>0</v>
      </c>
      <c r="I358" s="513" t="s">
        <v>476</v>
      </c>
      <c r="J358" s="1166"/>
    </row>
    <row r="359" spans="1:11" ht="12.75" customHeight="1">
      <c r="A359" s="504">
        <f>A358+1</f>
        <v>87</v>
      </c>
      <c r="C359" s="512" t="s">
        <v>508</v>
      </c>
      <c r="G359" s="498">
        <v>0</v>
      </c>
      <c r="H359" s="498">
        <v>0</v>
      </c>
      <c r="I359" s="516" t="s">
        <v>476</v>
      </c>
    </row>
    <row r="360" spans="1:11" ht="12.75" customHeight="1">
      <c r="A360" s="504">
        <f>A359+1</f>
        <v>88</v>
      </c>
      <c r="C360" s="512" t="s">
        <v>468</v>
      </c>
      <c r="D360" s="498">
        <f>+D357-D358-D359</f>
        <v>512963201.7700001</v>
      </c>
      <c r="E360" s="498">
        <f>+E357-E358-E359</f>
        <v>468244392.24850005</v>
      </c>
      <c r="F360" s="498">
        <f>+F357-F358-F359</f>
        <v>-141709.06</v>
      </c>
      <c r="G360" s="498">
        <f>+G357-G358-G359</f>
        <v>39678104.200000003</v>
      </c>
      <c r="H360" s="498">
        <f>+H357-H358-H359</f>
        <v>5182414.3415000001</v>
      </c>
      <c r="I360" s="516" t="s">
        <v>476</v>
      </c>
    </row>
    <row r="361" spans="1:11" ht="12.75" customHeight="1">
      <c r="A361" s="504">
        <f>A360+1</f>
        <v>89</v>
      </c>
      <c r="B361" s="517"/>
      <c r="C361" s="518" t="s">
        <v>2328</v>
      </c>
      <c r="D361" s="519"/>
      <c r="E361" s="519">
        <v>0</v>
      </c>
      <c r="F361" s="519">
        <v>1</v>
      </c>
      <c r="G361" s="519">
        <f>'Wrksht. C, Allocation Ratios'!I7</f>
        <v>0.50821559584268561</v>
      </c>
      <c r="H361" s="519">
        <f>'Wrksht. C, Allocation Ratios'!J21</f>
        <v>0.73673230862335481</v>
      </c>
    </row>
    <row r="362" spans="1:11" ht="12.75" customHeight="1">
      <c r="A362" s="504">
        <f>A361+1</f>
        <v>90</v>
      </c>
      <c r="C362" s="512" t="s">
        <v>468</v>
      </c>
      <c r="E362" s="498">
        <f>E360*E361</f>
        <v>0</v>
      </c>
      <c r="F362" s="498">
        <f>F360*F361</f>
        <v>-141709.06</v>
      </c>
      <c r="G362" s="498">
        <f>G360*G361</f>
        <v>20165031.367911167</v>
      </c>
      <c r="H362" s="498">
        <f>H360*H361</f>
        <v>3818052.0820560781</v>
      </c>
      <c r="I362" s="520">
        <f>SUM(E362:H362)</f>
        <v>23841374.389967248</v>
      </c>
      <c r="J362" s="484" t="s">
        <v>24</v>
      </c>
    </row>
    <row r="363" spans="1:11" ht="20.399999999999999">
      <c r="A363" s="1740" t="s">
        <v>2995</v>
      </c>
      <c r="B363" s="1740"/>
      <c r="C363" s="1741"/>
      <c r="D363" s="1741"/>
      <c r="E363" s="1741"/>
      <c r="F363" s="1741"/>
      <c r="G363" s="1741"/>
      <c r="H363" s="1741"/>
      <c r="I363" s="1741"/>
      <c r="J363" s="1741"/>
    </row>
    <row r="364" spans="1:11" ht="19.2">
      <c r="A364" s="1742" t="str">
        <f>A2</f>
        <v>For Contract Year Beginning June 1, 2024, Based on 2023 Data</v>
      </c>
      <c r="B364" s="1742"/>
      <c r="C364" s="1743"/>
      <c r="D364" s="1743"/>
      <c r="E364" s="1743"/>
      <c r="F364" s="1743"/>
      <c r="G364" s="1743"/>
      <c r="H364" s="1743"/>
      <c r="I364" s="1743"/>
      <c r="J364" s="1743"/>
    </row>
    <row r="365" spans="1:11">
      <c r="C365" s="521"/>
      <c r="G365" s="505"/>
      <c r="H365" s="505"/>
    </row>
    <row r="366" spans="1:11" ht="15.6">
      <c r="C366" s="507"/>
      <c r="D366" s="488" t="s">
        <v>480</v>
      </c>
      <c r="E366" s="488" t="s">
        <v>481</v>
      </c>
      <c r="F366" s="488" t="s">
        <v>482</v>
      </c>
      <c r="G366" s="488" t="s">
        <v>483</v>
      </c>
      <c r="H366" s="488" t="s">
        <v>484</v>
      </c>
      <c r="I366" s="488" t="s">
        <v>884</v>
      </c>
      <c r="J366" s="488" t="s">
        <v>485</v>
      </c>
    </row>
    <row r="367" spans="1:11" ht="15.6">
      <c r="D367" s="495"/>
      <c r="E367" s="488" t="str">
        <f t="shared" ref="E367:F369" si="35">E257</f>
        <v>100%</v>
      </c>
      <c r="F367" s="488" t="str">
        <f t="shared" si="35"/>
        <v>100%</v>
      </c>
      <c r="G367" s="488"/>
      <c r="H367" s="488"/>
      <c r="I367" s="488" t="str">
        <f t="shared" ref="I367:J369" si="36">I257</f>
        <v>Total</v>
      </c>
      <c r="J367" s="488" t="str">
        <f t="shared" si="36"/>
        <v xml:space="preserve"> </v>
      </c>
    </row>
    <row r="368" spans="1:11" ht="15.6">
      <c r="C368" s="522"/>
      <c r="D368" s="488" t="str">
        <f>D258</f>
        <v xml:space="preserve"> </v>
      </c>
      <c r="E368" s="488" t="str">
        <f t="shared" si="35"/>
        <v>NonGeneration</v>
      </c>
      <c r="F368" s="488" t="str">
        <f t="shared" si="35"/>
        <v>Generation</v>
      </c>
      <c r="G368" s="488" t="str">
        <f>G258</f>
        <v xml:space="preserve">Plant </v>
      </c>
      <c r="H368" s="488" t="str">
        <f>H258</f>
        <v>Labor</v>
      </c>
      <c r="I368" s="488" t="str">
        <f t="shared" si="36"/>
        <v>Added</v>
      </c>
      <c r="J368" s="488" t="str">
        <f t="shared" si="36"/>
        <v>Description</v>
      </c>
    </row>
    <row r="369" spans="1:11" ht="15.6">
      <c r="D369" s="488" t="str">
        <f>D259</f>
        <v>YE Balance</v>
      </c>
      <c r="E369" s="488" t="str">
        <f t="shared" si="35"/>
        <v>Related</v>
      </c>
      <c r="F369" s="488" t="str">
        <f t="shared" si="35"/>
        <v>Related</v>
      </c>
      <c r="G369" s="488" t="str">
        <f>G259</f>
        <v>Related</v>
      </c>
      <c r="H369" s="488" t="str">
        <f>H259</f>
        <v>Related</v>
      </c>
      <c r="I369" s="488" t="str">
        <f t="shared" si="36"/>
        <v>to Ratebase</v>
      </c>
      <c r="J369" s="488" t="str">
        <f t="shared" si="36"/>
        <v>and Justification</v>
      </c>
    </row>
    <row r="370" spans="1:11">
      <c r="A370" s="499" t="s">
        <v>531</v>
      </c>
      <c r="B370" s="500" t="s">
        <v>1078</v>
      </c>
      <c r="C370" s="501" t="s">
        <v>880</v>
      </c>
      <c r="G370" s="498"/>
      <c r="H370" s="498"/>
    </row>
    <row r="371" spans="1:11">
      <c r="A371" s="499"/>
      <c r="B371" s="500"/>
      <c r="C371" s="523" t="s">
        <v>58</v>
      </c>
      <c r="F371" s="511"/>
      <c r="G371" s="498"/>
      <c r="H371" s="498"/>
    </row>
    <row r="372" spans="1:11" ht="26.4" customHeight="1">
      <c r="A372" s="618">
        <v>1</v>
      </c>
      <c r="B372" s="1364">
        <v>281100</v>
      </c>
      <c r="C372" s="1349" t="s">
        <v>1816</v>
      </c>
      <c r="D372" s="1367">
        <v>44706588</v>
      </c>
      <c r="E372" s="1368">
        <v>0</v>
      </c>
      <c r="F372" s="1350">
        <v>44706588</v>
      </c>
      <c r="G372" s="1368">
        <v>0</v>
      </c>
      <c r="H372" s="1368">
        <v>0</v>
      </c>
      <c r="I372" s="1349"/>
      <c r="J372" s="1352" t="s">
        <v>3153</v>
      </c>
    </row>
    <row r="373" spans="1:11">
      <c r="A373" s="499"/>
      <c r="B373" s="500"/>
      <c r="C373" s="501"/>
      <c r="G373" s="498"/>
      <c r="H373" s="498"/>
    </row>
    <row r="374" spans="1:11">
      <c r="A374" s="504">
        <f>A372+1</f>
        <v>2</v>
      </c>
      <c r="C374" s="515" t="s">
        <v>2327</v>
      </c>
      <c r="D374" s="1366">
        <f>D372</f>
        <v>44706588</v>
      </c>
      <c r="E374" s="508">
        <f>E372</f>
        <v>0</v>
      </c>
      <c r="F374" s="508">
        <f>F372</f>
        <v>44706588</v>
      </c>
      <c r="G374" s="508">
        <f>G372</f>
        <v>0</v>
      </c>
      <c r="H374" s="508">
        <f>H372</f>
        <v>0</v>
      </c>
      <c r="I374" s="516"/>
      <c r="J374" s="524"/>
      <c r="K374" s="528"/>
    </row>
    <row r="375" spans="1:11" ht="13.2" customHeight="1">
      <c r="A375" s="504">
        <f>A374+1</f>
        <v>3</v>
      </c>
      <c r="C375" s="512" t="s">
        <v>507</v>
      </c>
      <c r="G375" s="498"/>
      <c r="H375" s="498"/>
      <c r="J375" s="524"/>
    </row>
    <row r="376" spans="1:11" ht="13.2" customHeight="1">
      <c r="A376" s="504">
        <f>A375+1</f>
        <v>4</v>
      </c>
      <c r="C376" s="512" t="s">
        <v>508</v>
      </c>
      <c r="G376" s="498"/>
      <c r="H376" s="498"/>
      <c r="J376" s="524"/>
    </row>
    <row r="377" spans="1:11">
      <c r="A377" s="504">
        <f>A376+1</f>
        <v>5</v>
      </c>
      <c r="C377" s="512" t="s">
        <v>468</v>
      </c>
      <c r="D377" s="498">
        <f>D374-D375-D376</f>
        <v>44706588</v>
      </c>
      <c r="E377" s="498">
        <f>E374-E375-E376</f>
        <v>0</v>
      </c>
      <c r="F377" s="498">
        <f>F374-F375-F376</f>
        <v>44706588</v>
      </c>
      <c r="G377" s="498">
        <f>G374-G375-G376</f>
        <v>0</v>
      </c>
      <c r="H377" s="498">
        <f>H374-H375-H376</f>
        <v>0</v>
      </c>
      <c r="I377" s="516" t="s">
        <v>476</v>
      </c>
      <c r="J377" s="524"/>
    </row>
    <row r="378" spans="1:11" ht="21">
      <c r="A378" s="504">
        <f>A377+1</f>
        <v>6</v>
      </c>
      <c r="B378" s="525"/>
      <c r="C378" s="518" t="s">
        <v>2328</v>
      </c>
      <c r="D378" s="498"/>
      <c r="E378" s="519">
        <f>E361</f>
        <v>0</v>
      </c>
      <c r="F378" s="519">
        <f>F361</f>
        <v>1</v>
      </c>
      <c r="G378" s="519">
        <f>G361</f>
        <v>0.50821559584268561</v>
      </c>
      <c r="H378" s="519">
        <f>H361</f>
        <v>0.73673230862335481</v>
      </c>
      <c r="J378" s="524"/>
    </row>
    <row r="379" spans="1:11">
      <c r="A379" s="504">
        <f>A378+1</f>
        <v>7</v>
      </c>
      <c r="C379" s="512" t="s">
        <v>468</v>
      </c>
      <c r="E379" s="498">
        <f>E377*E378</f>
        <v>0</v>
      </c>
      <c r="F379" s="498">
        <f>F377*F378</f>
        <v>44706588</v>
      </c>
      <c r="G379" s="498">
        <f>G377*G378</f>
        <v>0</v>
      </c>
      <c r="H379" s="498">
        <f>H377*H378</f>
        <v>0</v>
      </c>
      <c r="I379" s="520">
        <f>SUM(E379:H379)</f>
        <v>44706588</v>
      </c>
      <c r="J379" s="484" t="s">
        <v>24</v>
      </c>
    </row>
    <row r="380" spans="1:11" ht="10.199999999999999" customHeight="1">
      <c r="A380" s="499"/>
      <c r="B380" s="500"/>
      <c r="C380" s="501"/>
      <c r="G380" s="498"/>
      <c r="H380" s="498"/>
    </row>
    <row r="381" spans="1:11">
      <c r="A381" s="484"/>
      <c r="C381" s="523" t="s">
        <v>509</v>
      </c>
      <c r="G381" s="498"/>
      <c r="H381" s="498"/>
    </row>
    <row r="382" spans="1:11">
      <c r="A382" s="618">
        <v>1</v>
      </c>
      <c r="B382" s="1364">
        <v>282611</v>
      </c>
      <c r="C382" s="1349" t="s">
        <v>3438</v>
      </c>
      <c r="D382" s="1369">
        <v>156427.65</v>
      </c>
      <c r="E382" s="1350">
        <v>15559.98</v>
      </c>
      <c r="F382" s="1350">
        <v>140867.67000000001</v>
      </c>
      <c r="G382" s="1350">
        <v>0</v>
      </c>
      <c r="H382" s="1350">
        <v>0</v>
      </c>
      <c r="I382" s="1351"/>
      <c r="J382" s="1356" t="s">
        <v>3439</v>
      </c>
      <c r="K382" s="785"/>
    </row>
    <row r="383" spans="1:11">
      <c r="A383" s="618">
        <f>+A382+1</f>
        <v>2</v>
      </c>
      <c r="B383" s="1364">
        <v>282611</v>
      </c>
      <c r="C383" s="1349" t="s">
        <v>3440</v>
      </c>
      <c r="D383" s="1370">
        <v>-3160446.99</v>
      </c>
      <c r="E383" s="1350">
        <v>-1876270.2</v>
      </c>
      <c r="F383" s="1350">
        <v>-627189.46</v>
      </c>
      <c r="G383" s="1350">
        <v>-656987.32999999996</v>
      </c>
      <c r="H383" s="1350">
        <v>0</v>
      </c>
      <c r="I383" s="1351"/>
      <c r="J383" s="1356" t="s">
        <v>3441</v>
      </c>
      <c r="K383" s="785"/>
    </row>
    <row r="384" spans="1:11" ht="26.4">
      <c r="A384" s="618">
        <f t="shared" ref="A384:A430" si="37">+A383+1</f>
        <v>3</v>
      </c>
      <c r="B384" s="1364">
        <v>282611</v>
      </c>
      <c r="C384" s="1349" t="s">
        <v>3442</v>
      </c>
      <c r="D384" s="1370">
        <v>761192.68</v>
      </c>
      <c r="E384" s="1350">
        <v>508929.27</v>
      </c>
      <c r="F384" s="1350">
        <v>210121.3</v>
      </c>
      <c r="G384" s="1350">
        <v>42142.11</v>
      </c>
      <c r="H384" s="1350">
        <v>0</v>
      </c>
      <c r="I384" s="1351"/>
      <c r="J384" s="1356" t="s">
        <v>3443</v>
      </c>
      <c r="K384" s="785"/>
    </row>
    <row r="385" spans="1:11">
      <c r="A385" s="618">
        <f t="shared" si="37"/>
        <v>4</v>
      </c>
      <c r="B385" s="1364">
        <v>282611</v>
      </c>
      <c r="C385" s="1349" t="s">
        <v>3444</v>
      </c>
      <c r="D385" s="1370">
        <v>-315817.05</v>
      </c>
      <c r="E385" s="1350">
        <v>0</v>
      </c>
      <c r="F385" s="1350">
        <v>0</v>
      </c>
      <c r="G385" s="1350">
        <v>0</v>
      </c>
      <c r="H385" s="1350">
        <v>-315817.05</v>
      </c>
      <c r="I385" s="1351"/>
      <c r="J385" s="1356" t="s">
        <v>3445</v>
      </c>
      <c r="K385" s="785"/>
    </row>
    <row r="386" spans="1:11">
      <c r="A386" s="618">
        <f t="shared" si="37"/>
        <v>5</v>
      </c>
      <c r="B386" s="1364">
        <v>282611</v>
      </c>
      <c r="C386" s="1349" t="s">
        <v>3446</v>
      </c>
      <c r="D386" s="1370">
        <v>24475178.309999999</v>
      </c>
      <c r="E386" s="1350">
        <v>0</v>
      </c>
      <c r="F386" s="1350">
        <v>0</v>
      </c>
      <c r="G386" s="1350">
        <v>24475178.309999999</v>
      </c>
      <c r="H386" s="1350">
        <v>0</v>
      </c>
      <c r="I386" s="1351"/>
      <c r="J386" s="1356" t="s">
        <v>3447</v>
      </c>
      <c r="K386" s="785"/>
    </row>
    <row r="387" spans="1:11" ht="26.4">
      <c r="A387" s="618">
        <f t="shared" si="37"/>
        <v>6</v>
      </c>
      <c r="B387" s="1364">
        <v>282611</v>
      </c>
      <c r="C387" s="1349" t="s">
        <v>3448</v>
      </c>
      <c r="D387" s="1370">
        <v>439299.19</v>
      </c>
      <c r="E387" s="1350">
        <v>0</v>
      </c>
      <c r="F387" s="1350">
        <v>370909.81</v>
      </c>
      <c r="G387" s="1350">
        <v>68389.38</v>
      </c>
      <c r="H387" s="1350">
        <v>0</v>
      </c>
      <c r="I387" s="1351"/>
      <c r="J387" s="1356" t="s">
        <v>3449</v>
      </c>
      <c r="K387" s="785"/>
    </row>
    <row r="388" spans="1:11" ht="26.4">
      <c r="A388" s="618">
        <f t="shared" si="37"/>
        <v>7</v>
      </c>
      <c r="B388" s="1364">
        <v>282611</v>
      </c>
      <c r="C388" s="1349" t="s">
        <v>3450</v>
      </c>
      <c r="D388" s="1370">
        <v>660.07</v>
      </c>
      <c r="E388" s="1350">
        <v>0</v>
      </c>
      <c r="F388" s="1350">
        <v>0</v>
      </c>
      <c r="G388" s="1350">
        <v>660.07</v>
      </c>
      <c r="H388" s="1350">
        <v>0</v>
      </c>
      <c r="I388" s="1351"/>
      <c r="J388" s="1356" t="s">
        <v>3451</v>
      </c>
      <c r="K388" s="785"/>
    </row>
    <row r="389" spans="1:11">
      <c r="A389" s="618">
        <f t="shared" si="37"/>
        <v>8</v>
      </c>
      <c r="B389" s="1364">
        <v>282611</v>
      </c>
      <c r="C389" s="1349" t="s">
        <v>3452</v>
      </c>
      <c r="D389" s="1370">
        <v>-15192178.970000001</v>
      </c>
      <c r="E389" s="1350">
        <v>-15192178.970000001</v>
      </c>
      <c r="F389" s="1350">
        <v>0</v>
      </c>
      <c r="G389" s="1350">
        <v>0</v>
      </c>
      <c r="H389" s="1350">
        <v>0</v>
      </c>
      <c r="I389" s="1351"/>
      <c r="J389" s="1356"/>
      <c r="K389" s="785"/>
    </row>
    <row r="390" spans="1:11">
      <c r="A390" s="618">
        <f t="shared" si="37"/>
        <v>9</v>
      </c>
      <c r="B390" s="1364">
        <v>282611</v>
      </c>
      <c r="C390" s="1349" t="s">
        <v>3453</v>
      </c>
      <c r="D390" s="1370">
        <v>34752.15</v>
      </c>
      <c r="E390" s="1350"/>
      <c r="F390" s="1350">
        <v>34752.15</v>
      </c>
      <c r="G390" s="1350">
        <v>0</v>
      </c>
      <c r="H390" s="1350">
        <v>0</v>
      </c>
      <c r="I390" s="1351"/>
      <c r="J390" s="1356" t="s">
        <v>3454</v>
      </c>
      <c r="K390" s="785"/>
    </row>
    <row r="391" spans="1:11">
      <c r="A391" s="618">
        <f t="shared" si="37"/>
        <v>10</v>
      </c>
      <c r="B391" s="1364">
        <v>282611</v>
      </c>
      <c r="C391" s="1349" t="s">
        <v>3455</v>
      </c>
      <c r="D391" s="1370">
        <v>176013.07</v>
      </c>
      <c r="E391" s="1350">
        <v>129716.23</v>
      </c>
      <c r="F391" s="1350">
        <v>46296.84</v>
      </c>
      <c r="G391" s="1350">
        <v>0</v>
      </c>
      <c r="H391" s="1350">
        <v>0</v>
      </c>
      <c r="I391" s="1351"/>
      <c r="J391" s="1356" t="s">
        <v>3439</v>
      </c>
      <c r="K391" s="785"/>
    </row>
    <row r="392" spans="1:11">
      <c r="A392" s="618">
        <f t="shared" si="37"/>
        <v>11</v>
      </c>
      <c r="B392" s="1364">
        <v>282611</v>
      </c>
      <c r="C392" s="1349" t="s">
        <v>3456</v>
      </c>
      <c r="D392" s="1371">
        <v>214192.49</v>
      </c>
      <c r="E392" s="1350">
        <v>51011.439999999995</v>
      </c>
      <c r="F392" s="1350">
        <v>163181.04999999999</v>
      </c>
      <c r="G392" s="1350">
        <v>0</v>
      </c>
      <c r="H392" s="1350">
        <v>0</v>
      </c>
      <c r="I392" s="1351"/>
      <c r="J392" s="1356" t="s">
        <v>3439</v>
      </c>
      <c r="K392" s="785"/>
    </row>
    <row r="393" spans="1:11">
      <c r="A393" s="618">
        <f t="shared" si="37"/>
        <v>12</v>
      </c>
      <c r="B393" s="1364">
        <v>282611</v>
      </c>
      <c r="C393" s="1349" t="s">
        <v>3457</v>
      </c>
      <c r="D393" s="1371">
        <v>9439.4500000000007</v>
      </c>
      <c r="E393" s="1350">
        <v>7597.39</v>
      </c>
      <c r="F393" s="1350">
        <v>1842.06</v>
      </c>
      <c r="G393" s="1350">
        <v>0</v>
      </c>
      <c r="H393" s="1350">
        <v>0</v>
      </c>
      <c r="I393" s="1351"/>
      <c r="J393" s="1356" t="s">
        <v>3439</v>
      </c>
      <c r="K393" s="785"/>
    </row>
    <row r="394" spans="1:11" ht="26.4">
      <c r="A394" s="618">
        <f t="shared" si="37"/>
        <v>13</v>
      </c>
      <c r="B394" s="1364">
        <v>282611</v>
      </c>
      <c r="C394" s="1349" t="s">
        <v>3458</v>
      </c>
      <c r="D394" s="1371">
        <v>1036682928.0700001</v>
      </c>
      <c r="E394" s="1350">
        <v>491882695.56</v>
      </c>
      <c r="F394" s="1350">
        <v>493625540.38999999</v>
      </c>
      <c r="G394" s="1350">
        <v>51174692.119999997</v>
      </c>
      <c r="H394" s="1350">
        <v>0</v>
      </c>
      <c r="I394" s="1351"/>
      <c r="J394" s="1356" t="s">
        <v>3459</v>
      </c>
      <c r="K394" s="785"/>
    </row>
    <row r="395" spans="1:11">
      <c r="A395" s="618">
        <f t="shared" si="37"/>
        <v>14</v>
      </c>
      <c r="B395" s="1364">
        <v>282611</v>
      </c>
      <c r="C395" s="1349" t="s">
        <v>3460</v>
      </c>
      <c r="D395" s="1371">
        <v>1143598.8600000001</v>
      </c>
      <c r="E395" s="1350">
        <v>11359.72</v>
      </c>
      <c r="F395" s="1350">
        <v>1132239.1399999999</v>
      </c>
      <c r="G395" s="1350">
        <v>0</v>
      </c>
      <c r="H395" s="1350">
        <v>0</v>
      </c>
      <c r="I395" s="1351"/>
      <c r="J395" s="1356"/>
      <c r="K395" s="785"/>
    </row>
    <row r="396" spans="1:11">
      <c r="A396" s="618">
        <f t="shared" si="37"/>
        <v>15</v>
      </c>
      <c r="B396" s="1364">
        <v>282611</v>
      </c>
      <c r="C396" s="1349" t="s">
        <v>3461</v>
      </c>
      <c r="D396" s="1371">
        <v>7432948.9699999997</v>
      </c>
      <c r="E396" s="1350">
        <v>302427.34999999998</v>
      </c>
      <c r="F396" s="1350">
        <v>7130521.6200000001</v>
      </c>
      <c r="G396" s="1350">
        <v>0</v>
      </c>
      <c r="H396" s="1350">
        <v>0</v>
      </c>
      <c r="I396" s="1351"/>
      <c r="J396" s="1356"/>
      <c r="K396" s="785"/>
    </row>
    <row r="397" spans="1:11">
      <c r="A397" s="618">
        <f t="shared" si="37"/>
        <v>16</v>
      </c>
      <c r="B397" s="1364">
        <v>282611</v>
      </c>
      <c r="C397" s="1349" t="s">
        <v>3462</v>
      </c>
      <c r="D397" s="1371">
        <v>155371.78</v>
      </c>
      <c r="E397" s="1350">
        <v>136129.30000000002</v>
      </c>
      <c r="F397" s="1350">
        <v>19242.48</v>
      </c>
      <c r="G397" s="1350">
        <v>0</v>
      </c>
      <c r="H397" s="1350">
        <v>0</v>
      </c>
      <c r="I397" s="1351"/>
      <c r="J397" s="1356" t="s">
        <v>3439</v>
      </c>
      <c r="K397" s="785"/>
    </row>
    <row r="398" spans="1:11">
      <c r="A398" s="618">
        <f t="shared" si="37"/>
        <v>17</v>
      </c>
      <c r="B398" s="1364">
        <v>282611</v>
      </c>
      <c r="C398" s="1349" t="s">
        <v>927</v>
      </c>
      <c r="D398" s="1371">
        <v>215696.43</v>
      </c>
      <c r="E398" s="1350">
        <v>189843.45</v>
      </c>
      <c r="F398" s="1350">
        <v>25852.98</v>
      </c>
      <c r="G398" s="1350">
        <v>0</v>
      </c>
      <c r="H398" s="1350">
        <v>0</v>
      </c>
      <c r="I398" s="1351"/>
      <c r="J398" s="1356" t="s">
        <v>3439</v>
      </c>
      <c r="K398" s="785"/>
    </row>
    <row r="399" spans="1:11">
      <c r="A399" s="618">
        <f t="shared" si="37"/>
        <v>18</v>
      </c>
      <c r="B399" s="1364">
        <v>282611</v>
      </c>
      <c r="C399" s="1349" t="s">
        <v>3606</v>
      </c>
      <c r="D399" s="1371">
        <v>7920455.5800000001</v>
      </c>
      <c r="E399" s="1350">
        <v>499849.31</v>
      </c>
      <c r="F399" s="1350">
        <v>7420606.2699999996</v>
      </c>
      <c r="G399" s="1350">
        <v>0</v>
      </c>
      <c r="H399" s="1350">
        <v>0</v>
      </c>
      <c r="I399" s="1351"/>
      <c r="J399" s="1356"/>
      <c r="K399" s="785"/>
    </row>
    <row r="400" spans="1:11">
      <c r="A400" s="618">
        <f t="shared" si="37"/>
        <v>19</v>
      </c>
      <c r="B400" s="1364">
        <v>282611</v>
      </c>
      <c r="C400" s="1349" t="s">
        <v>3463</v>
      </c>
      <c r="D400" s="1371">
        <v>38368.480000000003</v>
      </c>
      <c r="E400" s="1350">
        <v>35090.1</v>
      </c>
      <c r="F400" s="1350">
        <v>3278.38</v>
      </c>
      <c r="G400" s="1350">
        <v>0</v>
      </c>
      <c r="H400" s="1350">
        <v>0</v>
      </c>
      <c r="I400" s="1351"/>
      <c r="J400" s="1356"/>
      <c r="K400" s="785"/>
    </row>
    <row r="401" spans="1:11">
      <c r="A401" s="618">
        <f t="shared" si="37"/>
        <v>20</v>
      </c>
      <c r="B401" s="1364">
        <v>282611</v>
      </c>
      <c r="C401" s="1349" t="s">
        <v>3607</v>
      </c>
      <c r="D401" s="1371">
        <v>585421.36</v>
      </c>
      <c r="E401" s="1350">
        <v>0</v>
      </c>
      <c r="F401" s="1350">
        <v>585421.36</v>
      </c>
      <c r="G401" s="1350">
        <v>0</v>
      </c>
      <c r="H401" s="1350">
        <v>0</v>
      </c>
      <c r="I401" s="1351"/>
      <c r="J401" s="1356"/>
      <c r="K401" s="785"/>
    </row>
    <row r="402" spans="1:11">
      <c r="A402" s="618">
        <f t="shared" si="37"/>
        <v>21</v>
      </c>
      <c r="B402" s="1364">
        <v>282611</v>
      </c>
      <c r="C402" s="1349" t="s">
        <v>3608</v>
      </c>
      <c r="D402" s="1371">
        <v>1259831.6000000001</v>
      </c>
      <c r="E402" s="1350">
        <v>0</v>
      </c>
      <c r="F402" s="1350">
        <v>0</v>
      </c>
      <c r="G402" s="1350">
        <v>1259831.6000000001</v>
      </c>
      <c r="H402" s="1350">
        <v>0</v>
      </c>
      <c r="I402" s="1351"/>
      <c r="J402" s="1356"/>
      <c r="K402" s="785"/>
    </row>
    <row r="403" spans="1:11">
      <c r="A403" s="618">
        <f t="shared" si="37"/>
        <v>22</v>
      </c>
      <c r="B403" s="1364">
        <v>282611</v>
      </c>
      <c r="C403" s="1349" t="s">
        <v>3609</v>
      </c>
      <c r="D403" s="1371">
        <v>-4745488.99</v>
      </c>
      <c r="E403" s="1350">
        <v>0</v>
      </c>
      <c r="F403" s="1350">
        <v>0</v>
      </c>
      <c r="G403" s="1350">
        <v>-4745488.99</v>
      </c>
      <c r="H403" s="1350">
        <v>0</v>
      </c>
      <c r="I403" s="1351"/>
      <c r="J403" s="1356"/>
      <c r="K403" s="785"/>
    </row>
    <row r="404" spans="1:11" ht="26.4">
      <c r="A404" s="618">
        <f t="shared" si="37"/>
        <v>23</v>
      </c>
      <c r="B404" s="1364">
        <v>282611</v>
      </c>
      <c r="C404" s="1349" t="s">
        <v>3464</v>
      </c>
      <c r="D404" s="1371">
        <v>262996.59000000003</v>
      </c>
      <c r="E404" s="1350">
        <v>0</v>
      </c>
      <c r="F404" s="1350">
        <v>262996.59000000003</v>
      </c>
      <c r="G404" s="1350">
        <v>0</v>
      </c>
      <c r="H404" s="1350">
        <v>0</v>
      </c>
      <c r="I404" s="1351"/>
      <c r="J404" s="1356" t="s">
        <v>3465</v>
      </c>
      <c r="K404" s="785"/>
    </row>
    <row r="405" spans="1:11">
      <c r="A405" s="618">
        <f t="shared" si="37"/>
        <v>24</v>
      </c>
      <c r="B405" s="1364">
        <v>282611</v>
      </c>
      <c r="C405" s="1349" t="s">
        <v>3466</v>
      </c>
      <c r="D405" s="1371">
        <v>819354.74</v>
      </c>
      <c r="E405" s="1350">
        <v>0</v>
      </c>
      <c r="F405" s="1350">
        <v>819354.74</v>
      </c>
      <c r="G405" s="1350">
        <v>0</v>
      </c>
      <c r="H405" s="1350">
        <v>0</v>
      </c>
      <c r="I405" s="1351"/>
      <c r="J405" s="1356" t="s">
        <v>3467</v>
      </c>
      <c r="K405" s="785"/>
    </row>
    <row r="406" spans="1:11" ht="26.4">
      <c r="A406" s="618">
        <f t="shared" si="37"/>
        <v>25</v>
      </c>
      <c r="B406" s="1364">
        <v>282611</v>
      </c>
      <c r="C406" s="1349" t="s">
        <v>3468</v>
      </c>
      <c r="D406" s="1371">
        <v>6077831.21</v>
      </c>
      <c r="E406" s="1350">
        <v>4423329.25</v>
      </c>
      <c r="F406" s="1350">
        <v>1653354.99</v>
      </c>
      <c r="G406" s="1350">
        <v>1146.97</v>
      </c>
      <c r="H406" s="1350">
        <v>0</v>
      </c>
      <c r="I406" s="1351"/>
      <c r="J406" s="1356" t="s">
        <v>3469</v>
      </c>
      <c r="K406" s="785"/>
    </row>
    <row r="407" spans="1:11" ht="26.4">
      <c r="A407" s="618">
        <f t="shared" si="37"/>
        <v>26</v>
      </c>
      <c r="B407" s="1364">
        <v>282611</v>
      </c>
      <c r="C407" s="1349" t="s">
        <v>3470</v>
      </c>
      <c r="D407" s="1371">
        <v>2240506.9</v>
      </c>
      <c r="E407" s="1350">
        <v>1397004.06</v>
      </c>
      <c r="F407" s="1350">
        <v>839639.68</v>
      </c>
      <c r="G407" s="1350">
        <v>3863.16</v>
      </c>
      <c r="H407" s="1350">
        <v>0</v>
      </c>
      <c r="I407" s="1351"/>
      <c r="J407" s="1356" t="s">
        <v>3469</v>
      </c>
      <c r="K407" s="785"/>
    </row>
    <row r="408" spans="1:11" ht="26.4">
      <c r="A408" s="618">
        <f t="shared" si="37"/>
        <v>27</v>
      </c>
      <c r="B408" s="1364">
        <v>282611</v>
      </c>
      <c r="C408" s="1349" t="s">
        <v>3261</v>
      </c>
      <c r="D408" s="1371">
        <v>5920206.7000000002</v>
      </c>
      <c r="E408" s="1350">
        <v>5098172.47</v>
      </c>
      <c r="F408" s="1350">
        <v>822031.52</v>
      </c>
      <c r="G408" s="1350">
        <v>2.71</v>
      </c>
      <c r="H408" s="1350">
        <v>0</v>
      </c>
      <c r="I408" s="1351"/>
      <c r="J408" s="1356" t="s">
        <v>3471</v>
      </c>
      <c r="K408" s="785"/>
    </row>
    <row r="409" spans="1:11" ht="26.4">
      <c r="A409" s="618">
        <f t="shared" si="37"/>
        <v>28</v>
      </c>
      <c r="B409" s="1364">
        <v>282611</v>
      </c>
      <c r="C409" s="1349" t="s">
        <v>3472</v>
      </c>
      <c r="D409" s="1371">
        <v>68626546.150000006</v>
      </c>
      <c r="E409" s="1350">
        <v>49798479.399999999</v>
      </c>
      <c r="F409" s="1350">
        <v>18834141.920000002</v>
      </c>
      <c r="G409" s="1350">
        <v>-6075.17</v>
      </c>
      <c r="H409" s="1350">
        <v>0</v>
      </c>
      <c r="I409" s="1351"/>
      <c r="J409" s="1356" t="s">
        <v>3473</v>
      </c>
      <c r="K409" s="785"/>
    </row>
    <row r="410" spans="1:11">
      <c r="A410" s="618">
        <f t="shared" si="37"/>
        <v>29</v>
      </c>
      <c r="B410" s="1364">
        <v>282611</v>
      </c>
      <c r="C410" s="1349" t="s">
        <v>3474</v>
      </c>
      <c r="D410" s="1371">
        <v>55367578.039999999</v>
      </c>
      <c r="E410" s="1350">
        <v>16625379.189999999</v>
      </c>
      <c r="F410" s="1350">
        <v>38755754.75</v>
      </c>
      <c r="G410" s="1350">
        <v>-13555.9</v>
      </c>
      <c r="H410" s="1350">
        <v>0</v>
      </c>
      <c r="I410" s="1351"/>
      <c r="J410" s="1356" t="s">
        <v>3475</v>
      </c>
      <c r="K410" s="785"/>
    </row>
    <row r="411" spans="1:11" ht="26.4">
      <c r="A411" s="618">
        <f t="shared" si="37"/>
        <v>30</v>
      </c>
      <c r="B411" s="1364">
        <v>282611</v>
      </c>
      <c r="C411" s="1349" t="s">
        <v>3476</v>
      </c>
      <c r="D411" s="1371">
        <v>-6212079.8600000003</v>
      </c>
      <c r="E411" s="1350">
        <v>-2451307.64</v>
      </c>
      <c r="F411" s="1350">
        <v>-3760772.22</v>
      </c>
      <c r="G411" s="1350">
        <v>0</v>
      </c>
      <c r="H411" s="1350">
        <v>0</v>
      </c>
      <c r="I411" s="1351"/>
      <c r="J411" s="1356" t="s">
        <v>3477</v>
      </c>
      <c r="K411" s="785"/>
    </row>
    <row r="412" spans="1:11" ht="26.4">
      <c r="A412" s="618">
        <f t="shared" si="37"/>
        <v>31</v>
      </c>
      <c r="B412" s="1364">
        <v>282611</v>
      </c>
      <c r="C412" s="1349" t="s">
        <v>3478</v>
      </c>
      <c r="D412" s="1371">
        <v>-336349.96</v>
      </c>
      <c r="E412" s="1350">
        <v>0</v>
      </c>
      <c r="F412" s="1350">
        <v>-336349.96</v>
      </c>
      <c r="G412" s="1350">
        <v>0</v>
      </c>
      <c r="H412" s="1350">
        <v>0</v>
      </c>
      <c r="I412" s="1351"/>
      <c r="J412" s="1356" t="s">
        <v>3479</v>
      </c>
      <c r="K412" s="785"/>
    </row>
    <row r="413" spans="1:11" ht="26.4">
      <c r="A413" s="618">
        <f t="shared" si="37"/>
        <v>32</v>
      </c>
      <c r="B413" s="1364">
        <v>282611</v>
      </c>
      <c r="C413" s="1349" t="s">
        <v>3480</v>
      </c>
      <c r="D413" s="1371">
        <v>203106.67</v>
      </c>
      <c r="E413" s="1350">
        <v>191878.94</v>
      </c>
      <c r="F413" s="1350">
        <v>11227.73</v>
      </c>
      <c r="G413" s="1350">
        <v>0</v>
      </c>
      <c r="H413" s="1350">
        <v>0</v>
      </c>
      <c r="I413" s="1351"/>
      <c r="J413" s="1356" t="s">
        <v>3481</v>
      </c>
      <c r="K413" s="785"/>
    </row>
    <row r="414" spans="1:11" ht="26.4">
      <c r="A414" s="618">
        <f t="shared" si="37"/>
        <v>33</v>
      </c>
      <c r="B414" s="1364">
        <v>282611</v>
      </c>
      <c r="C414" s="1349" t="s">
        <v>3482</v>
      </c>
      <c r="D414" s="1371">
        <v>5929182.79</v>
      </c>
      <c r="E414" s="1350">
        <v>4385837.6100000003</v>
      </c>
      <c r="F414" s="1350">
        <v>1543345.18</v>
      </c>
      <c r="G414" s="1350">
        <v>0</v>
      </c>
      <c r="H414" s="1350">
        <v>0</v>
      </c>
      <c r="I414" s="1351"/>
      <c r="J414" s="1356" t="s">
        <v>3483</v>
      </c>
      <c r="K414" s="785"/>
    </row>
    <row r="415" spans="1:11" ht="26.4">
      <c r="A415" s="618">
        <f t="shared" si="37"/>
        <v>34</v>
      </c>
      <c r="B415" s="1364">
        <v>282611</v>
      </c>
      <c r="C415" s="1349" t="s">
        <v>3484</v>
      </c>
      <c r="D415" s="1371">
        <v>-1298823.27</v>
      </c>
      <c r="E415" s="1350">
        <v>-913164.77999999991</v>
      </c>
      <c r="F415" s="1350">
        <v>-385658.49</v>
      </c>
      <c r="G415" s="1350">
        <v>0</v>
      </c>
      <c r="H415" s="1350">
        <v>0</v>
      </c>
      <c r="I415" s="1351"/>
      <c r="J415" s="1356" t="s">
        <v>3485</v>
      </c>
      <c r="K415" s="785"/>
    </row>
    <row r="416" spans="1:11" ht="26.4">
      <c r="A416" s="618">
        <f t="shared" si="37"/>
        <v>35</v>
      </c>
      <c r="B416" s="1364">
        <v>282611</v>
      </c>
      <c r="C416" s="1349" t="s">
        <v>3486</v>
      </c>
      <c r="D416" s="1371">
        <v>889061.2</v>
      </c>
      <c r="E416" s="1350">
        <v>0</v>
      </c>
      <c r="F416" s="1350">
        <v>0</v>
      </c>
      <c r="G416" s="1350">
        <v>0</v>
      </c>
      <c r="H416" s="1350">
        <v>889061.2</v>
      </c>
      <c r="I416" s="1351"/>
      <c r="J416" s="1356" t="s">
        <v>3487</v>
      </c>
      <c r="K416" s="785"/>
    </row>
    <row r="417" spans="1:14" ht="26.4">
      <c r="A417" s="618">
        <f t="shared" si="37"/>
        <v>36</v>
      </c>
      <c r="B417" s="1364">
        <v>282611</v>
      </c>
      <c r="C417" s="1349" t="s">
        <v>3488</v>
      </c>
      <c r="D417" s="1371">
        <v>12399874.880000001</v>
      </c>
      <c r="E417" s="1350">
        <v>12399874.880000001</v>
      </c>
      <c r="F417" s="1350">
        <v>0</v>
      </c>
      <c r="G417" s="1350">
        <v>0</v>
      </c>
      <c r="H417" s="1350">
        <v>0</v>
      </c>
      <c r="I417" s="1351"/>
      <c r="J417" s="1356" t="s">
        <v>3489</v>
      </c>
      <c r="K417" s="785"/>
    </row>
    <row r="418" spans="1:14">
      <c r="A418" s="618">
        <f t="shared" si="37"/>
        <v>37</v>
      </c>
      <c r="B418" s="1364"/>
      <c r="C418" s="1349"/>
      <c r="D418" s="1369"/>
      <c r="E418" s="1350"/>
      <c r="F418" s="1350"/>
      <c r="G418" s="1350">
        <v>0</v>
      </c>
      <c r="H418" s="1350"/>
      <c r="I418" s="1351"/>
      <c r="J418" s="1352"/>
      <c r="K418" s="785"/>
    </row>
    <row r="419" spans="1:14" ht="26.4">
      <c r="A419" s="618">
        <f t="shared" si="37"/>
        <v>38</v>
      </c>
      <c r="B419" s="1364">
        <v>282611</v>
      </c>
      <c r="C419" s="1349" t="s">
        <v>1817</v>
      </c>
      <c r="D419" s="1369">
        <v>9894424.3499999996</v>
      </c>
      <c r="E419" s="1350">
        <v>4604701.83</v>
      </c>
      <c r="F419" s="1350">
        <v>4513504.79</v>
      </c>
      <c r="G419" s="1350">
        <v>776217.73</v>
      </c>
      <c r="H419" s="1350">
        <v>0</v>
      </c>
      <c r="I419" s="1351"/>
      <c r="J419" s="1352" t="s">
        <v>1224</v>
      </c>
      <c r="K419" s="785" t="s">
        <v>476</v>
      </c>
    </row>
    <row r="420" spans="1:14" ht="26.4">
      <c r="A420" s="618">
        <f t="shared" si="37"/>
        <v>39</v>
      </c>
      <c r="B420" s="1364">
        <v>282611</v>
      </c>
      <c r="C420" s="1349" t="s">
        <v>3262</v>
      </c>
      <c r="D420" s="1369">
        <v>0</v>
      </c>
      <c r="E420" s="1350">
        <v>0</v>
      </c>
      <c r="F420" s="1350">
        <v>0</v>
      </c>
      <c r="G420" s="1350">
        <v>0</v>
      </c>
      <c r="H420" s="1350">
        <v>0</v>
      </c>
      <c r="I420" s="1351"/>
      <c r="J420" s="1352" t="s">
        <v>3272</v>
      </c>
      <c r="K420" s="785"/>
      <c r="L420" s="1334"/>
      <c r="M420" s="769"/>
      <c r="N420" s="510" t="s">
        <v>476</v>
      </c>
    </row>
    <row r="421" spans="1:14" ht="26.4">
      <c r="A421" s="618">
        <f t="shared" si="37"/>
        <v>40</v>
      </c>
      <c r="B421" s="1364">
        <v>282611</v>
      </c>
      <c r="C421" s="1372" t="s">
        <v>261</v>
      </c>
      <c r="D421" s="1369">
        <v>46919696.560000002</v>
      </c>
      <c r="E421" s="1350">
        <v>28326425.710000001</v>
      </c>
      <c r="F421" s="1350">
        <v>18735551.32</v>
      </c>
      <c r="G421" s="1350">
        <v>-142280.47</v>
      </c>
      <c r="H421" s="1350">
        <v>0</v>
      </c>
      <c r="I421" s="1351"/>
      <c r="J421" s="1373" t="s">
        <v>1225</v>
      </c>
    </row>
    <row r="422" spans="1:14">
      <c r="A422" s="618">
        <f t="shared" si="37"/>
        <v>41</v>
      </c>
      <c r="B422" s="1364">
        <v>282611</v>
      </c>
      <c r="C422" s="1349" t="s">
        <v>3263</v>
      </c>
      <c r="D422" s="1369">
        <v>0</v>
      </c>
      <c r="E422" s="1350">
        <v>0</v>
      </c>
      <c r="F422" s="1350">
        <v>0</v>
      </c>
      <c r="G422" s="1350">
        <v>0</v>
      </c>
      <c r="H422" s="1350">
        <v>0</v>
      </c>
      <c r="I422" s="1351"/>
      <c r="J422" s="1374" t="s">
        <v>3273</v>
      </c>
    </row>
    <row r="423" spans="1:14" ht="26.4">
      <c r="A423" s="618">
        <f t="shared" si="37"/>
        <v>42</v>
      </c>
      <c r="B423" s="1375">
        <v>282611</v>
      </c>
      <c r="C423" s="1349" t="s">
        <v>1818</v>
      </c>
      <c r="D423" s="1369">
        <v>-11329664.569999998</v>
      </c>
      <c r="E423" s="1350">
        <v>-11329664.569999998</v>
      </c>
      <c r="F423" s="1350">
        <v>0</v>
      </c>
      <c r="G423" s="1350">
        <v>0</v>
      </c>
      <c r="H423" s="1350">
        <v>0</v>
      </c>
      <c r="I423" s="1362"/>
      <c r="J423" s="1352" t="s">
        <v>3274</v>
      </c>
    </row>
    <row r="424" spans="1:14" ht="26.4">
      <c r="A424" s="618">
        <f t="shared" si="37"/>
        <v>43</v>
      </c>
      <c r="B424" s="1375">
        <v>282611</v>
      </c>
      <c r="C424" s="1349" t="s">
        <v>3264</v>
      </c>
      <c r="D424" s="1369">
        <v>-742007.68</v>
      </c>
      <c r="E424" s="1350">
        <v>-742007.68</v>
      </c>
      <c r="F424" s="1350">
        <v>0</v>
      </c>
      <c r="G424" s="1350">
        <v>0</v>
      </c>
      <c r="H424" s="1350">
        <v>0</v>
      </c>
      <c r="I424" s="1362"/>
      <c r="J424" s="1352" t="s">
        <v>3275</v>
      </c>
    </row>
    <row r="425" spans="1:14" ht="26.4">
      <c r="A425" s="618">
        <f t="shared" si="37"/>
        <v>44</v>
      </c>
      <c r="B425" s="1375">
        <v>282611</v>
      </c>
      <c r="C425" s="1349" t="s">
        <v>3265</v>
      </c>
      <c r="D425" s="1369"/>
      <c r="E425" s="1350">
        <v>0</v>
      </c>
      <c r="F425" s="1350">
        <v>0</v>
      </c>
      <c r="G425" s="1350"/>
      <c r="H425" s="1350">
        <v>0</v>
      </c>
      <c r="I425" s="1362"/>
      <c r="J425" s="1352" t="s">
        <v>3276</v>
      </c>
    </row>
    <row r="426" spans="1:14">
      <c r="A426" s="618">
        <f t="shared" si="37"/>
        <v>45</v>
      </c>
      <c r="B426" s="1375">
        <v>282611</v>
      </c>
      <c r="C426" s="1349" t="s">
        <v>1775</v>
      </c>
      <c r="D426" s="1369">
        <v>-125461.73</v>
      </c>
      <c r="E426" s="1350">
        <v>0</v>
      </c>
      <c r="F426" s="1350">
        <v>-125461.73</v>
      </c>
      <c r="G426" s="1350">
        <v>0</v>
      </c>
      <c r="H426" s="1350">
        <v>0</v>
      </c>
      <c r="I426" s="1362"/>
      <c r="J426" s="1352" t="s">
        <v>1776</v>
      </c>
      <c r="K426" s="785"/>
    </row>
    <row r="427" spans="1:14" ht="26.4">
      <c r="A427" s="618">
        <f t="shared" si="37"/>
        <v>46</v>
      </c>
      <c r="B427" s="1375">
        <v>282611</v>
      </c>
      <c r="C427" s="1349" t="s">
        <v>3266</v>
      </c>
      <c r="D427" s="1369">
        <v>0</v>
      </c>
      <c r="E427" s="1350">
        <v>0</v>
      </c>
      <c r="F427" s="1350">
        <v>0</v>
      </c>
      <c r="G427" s="1350">
        <v>0</v>
      </c>
      <c r="H427" s="1350">
        <v>0</v>
      </c>
      <c r="I427" s="1362"/>
      <c r="J427" s="1352" t="s">
        <v>3277</v>
      </c>
    </row>
    <row r="428" spans="1:14">
      <c r="A428" s="618">
        <f t="shared" si="37"/>
        <v>47</v>
      </c>
      <c r="B428" s="1375">
        <v>282611</v>
      </c>
      <c r="C428" s="1349" t="s">
        <v>1777</v>
      </c>
      <c r="D428" s="1369">
        <v>-1280708.3600000001</v>
      </c>
      <c r="E428" s="1350">
        <v>-1280708.3600000001</v>
      </c>
      <c r="F428" s="1350">
        <v>0</v>
      </c>
      <c r="G428" s="1350">
        <v>0</v>
      </c>
      <c r="H428" s="1350">
        <v>0</v>
      </c>
      <c r="I428" s="1362"/>
      <c r="J428" s="1352" t="s">
        <v>1778</v>
      </c>
    </row>
    <row r="429" spans="1:14">
      <c r="A429" s="618">
        <f t="shared" si="37"/>
        <v>48</v>
      </c>
      <c r="B429" s="1375">
        <v>282611</v>
      </c>
      <c r="C429" s="1349" t="s">
        <v>3267</v>
      </c>
      <c r="D429" s="1369">
        <v>0</v>
      </c>
      <c r="E429" s="1350"/>
      <c r="F429" s="1350"/>
      <c r="G429" s="1376"/>
      <c r="H429" s="1350"/>
      <c r="I429" s="1362"/>
      <c r="J429" s="1352" t="s">
        <v>3278</v>
      </c>
    </row>
    <row r="430" spans="1:14">
      <c r="A430" s="618">
        <f t="shared" si="37"/>
        <v>49</v>
      </c>
      <c r="B430" s="1375">
        <v>282621</v>
      </c>
      <c r="C430" s="1349" t="s">
        <v>3268</v>
      </c>
      <c r="D430" s="1369">
        <v>766415.46000000008</v>
      </c>
      <c r="E430" s="1350">
        <v>766415.46000000008</v>
      </c>
      <c r="F430" s="1350">
        <v>0</v>
      </c>
      <c r="G430" s="1350">
        <v>0</v>
      </c>
      <c r="H430" s="1350">
        <v>0</v>
      </c>
      <c r="I430" s="1362"/>
      <c r="J430" s="1352" t="s">
        <v>3154</v>
      </c>
    </row>
    <row r="431" spans="1:14">
      <c r="A431" s="619"/>
      <c r="B431" s="1375"/>
      <c r="C431" s="1349"/>
      <c r="D431" s="1377"/>
      <c r="E431" s="1350"/>
      <c r="F431" s="1350"/>
      <c r="G431" s="1376"/>
      <c r="H431" s="1350"/>
      <c r="I431" s="1362"/>
      <c r="J431" s="1352"/>
    </row>
    <row r="432" spans="1:14" ht="26.4">
      <c r="A432" s="618" t="s">
        <v>476</v>
      </c>
      <c r="B432" s="1378"/>
      <c r="C432" s="1379" t="s">
        <v>979</v>
      </c>
      <c r="D432" s="1380"/>
      <c r="E432" s="1376"/>
      <c r="F432" s="1350"/>
      <c r="G432" s="1376"/>
      <c r="H432" s="1350"/>
      <c r="I432" s="1362"/>
      <c r="J432" s="1363"/>
    </row>
    <row r="433" spans="1:11">
      <c r="A433" s="618">
        <f>+A430+1</f>
        <v>50</v>
      </c>
      <c r="B433" s="1362"/>
      <c r="C433" s="1362" t="s">
        <v>3269</v>
      </c>
      <c r="D433" s="1381">
        <v>0</v>
      </c>
      <c r="E433" s="1376">
        <v>0</v>
      </c>
      <c r="F433" s="1350">
        <v>0</v>
      </c>
      <c r="G433" s="1350">
        <v>0</v>
      </c>
      <c r="H433" s="1350">
        <v>0</v>
      </c>
      <c r="I433" s="1382"/>
      <c r="J433" s="1363" t="s">
        <v>2703</v>
      </c>
    </row>
    <row r="434" spans="1:11">
      <c r="A434" s="618">
        <f>+A433+1</f>
        <v>51</v>
      </c>
      <c r="B434" s="1362">
        <v>282601</v>
      </c>
      <c r="C434" s="1362" t="s">
        <v>1819</v>
      </c>
      <c r="D434" s="1381">
        <v>-521231910.79000002</v>
      </c>
      <c r="E434" s="1376">
        <v>-521231910.79000002</v>
      </c>
      <c r="F434" s="1350">
        <v>0</v>
      </c>
      <c r="G434" s="1350">
        <v>0</v>
      </c>
      <c r="H434" s="1350">
        <v>0</v>
      </c>
      <c r="I434" s="1382"/>
      <c r="J434" s="1363" t="s">
        <v>2703</v>
      </c>
    </row>
    <row r="435" spans="1:11">
      <c r="A435" s="618">
        <f>+A434+1</f>
        <v>52</v>
      </c>
      <c r="B435" s="1362">
        <v>282611</v>
      </c>
      <c r="C435" s="1362" t="s">
        <v>3270</v>
      </c>
      <c r="D435" s="1381">
        <v>0</v>
      </c>
      <c r="E435" s="1376">
        <v>0</v>
      </c>
      <c r="F435" s="1350">
        <v>0</v>
      </c>
      <c r="G435" s="1350">
        <v>0</v>
      </c>
      <c r="H435" s="1350">
        <v>0</v>
      </c>
      <c r="I435" s="1382"/>
      <c r="J435" s="1363" t="s">
        <v>2703</v>
      </c>
    </row>
    <row r="436" spans="1:11">
      <c r="A436" s="618"/>
      <c r="B436" s="1279"/>
      <c r="C436" s="1279"/>
      <c r="D436" s="1280"/>
      <c r="E436" s="1281"/>
      <c r="F436" s="1282"/>
      <c r="G436" s="1282"/>
      <c r="H436" s="1282"/>
      <c r="I436" s="1283"/>
      <c r="J436" s="1302"/>
    </row>
    <row r="437" spans="1:11">
      <c r="A437" s="504">
        <f>+A435+1</f>
        <v>53</v>
      </c>
      <c r="C437" s="515" t="s">
        <v>2327</v>
      </c>
      <c r="D437" s="1366">
        <f>+SUM(D382:D435)</f>
        <v>732047620.21000051</v>
      </c>
      <c r="E437" s="508">
        <f>+SUM(E382:E435)</f>
        <v>66770494.910000384</v>
      </c>
      <c r="F437" s="508">
        <f>+SUM(F382:F435)</f>
        <v>592466144.8499999</v>
      </c>
      <c r="G437" s="498">
        <f>+SUM(G382:G435)</f>
        <v>72237736.299999982</v>
      </c>
      <c r="H437" s="498">
        <f>+SUM(H381:H435)</f>
        <v>573244.14999999991</v>
      </c>
      <c r="I437" s="516"/>
      <c r="J437" s="524"/>
      <c r="K437" s="528"/>
    </row>
    <row r="438" spans="1:11">
      <c r="A438" s="504">
        <f>A437+1</f>
        <v>54</v>
      </c>
      <c r="C438" s="512" t="s">
        <v>507</v>
      </c>
      <c r="G438" s="498"/>
      <c r="H438" s="498"/>
      <c r="J438" s="524"/>
    </row>
    <row r="439" spans="1:11">
      <c r="A439" s="504">
        <f>A438+1</f>
        <v>55</v>
      </c>
      <c r="C439" s="512" t="s">
        <v>508</v>
      </c>
      <c r="G439" s="498"/>
      <c r="H439" s="498"/>
      <c r="J439" s="524"/>
    </row>
    <row r="440" spans="1:11">
      <c r="A440" s="504">
        <f>A439+1</f>
        <v>56</v>
      </c>
      <c r="C440" s="512" t="s">
        <v>468</v>
      </c>
      <c r="D440" s="498">
        <f>D437-D438-D439</f>
        <v>732047620.21000051</v>
      </c>
      <c r="E440" s="498">
        <f>E437-E438-E439</f>
        <v>66770494.910000384</v>
      </c>
      <c r="F440" s="498">
        <f>F437-F438-F439</f>
        <v>592466144.8499999</v>
      </c>
      <c r="G440" s="498">
        <f>G437-G438-G439</f>
        <v>72237736.299999982</v>
      </c>
      <c r="H440" s="498">
        <f>H437-H438-H439</f>
        <v>573244.14999999991</v>
      </c>
      <c r="I440" s="516" t="s">
        <v>476</v>
      </c>
      <c r="J440" s="524"/>
    </row>
    <row r="441" spans="1:11" ht="17.399999999999999" customHeight="1">
      <c r="A441" s="504">
        <f>A440+1</f>
        <v>57</v>
      </c>
      <c r="B441" s="525"/>
      <c r="C441" s="518" t="s">
        <v>2328</v>
      </c>
      <c r="D441" s="498"/>
      <c r="E441" s="519">
        <f>E361</f>
        <v>0</v>
      </c>
      <c r="F441" s="519">
        <f>F361</f>
        <v>1</v>
      </c>
      <c r="G441" s="519">
        <f>G361</f>
        <v>0.50821559584268561</v>
      </c>
      <c r="H441" s="519">
        <f>H361</f>
        <v>0.73673230862335481</v>
      </c>
      <c r="J441" s="524"/>
    </row>
    <row r="442" spans="1:11">
      <c r="A442" s="504">
        <f>A441+1</f>
        <v>58</v>
      </c>
      <c r="C442" s="512" t="s">
        <v>468</v>
      </c>
      <c r="E442" s="498">
        <f>E440*E441</f>
        <v>0</v>
      </c>
      <c r="F442" s="498">
        <f>F440*F441</f>
        <v>592466144.8499999</v>
      </c>
      <c r="G442" s="498">
        <f>G440*G441</f>
        <v>36712344.196031287</v>
      </c>
      <c r="H442" s="498">
        <f>H440*H441</f>
        <v>422327.48603433266</v>
      </c>
      <c r="I442" s="520">
        <f>SUM(E442:H442)</f>
        <v>629600816.53206551</v>
      </c>
      <c r="J442" s="484" t="s">
        <v>24</v>
      </c>
    </row>
    <row r="443" spans="1:11" ht="20.399999999999999">
      <c r="A443" s="1740" t="s">
        <v>2996</v>
      </c>
      <c r="B443" s="1740"/>
      <c r="C443" s="1741"/>
      <c r="D443" s="1741"/>
      <c r="E443" s="1741"/>
      <c r="F443" s="1741"/>
      <c r="G443" s="1741"/>
      <c r="H443" s="1741"/>
      <c r="I443" s="1741"/>
      <c r="J443" s="1741"/>
    </row>
    <row r="444" spans="1:11" ht="19.2">
      <c r="A444" s="1742" t="str">
        <f>A2</f>
        <v>For Contract Year Beginning June 1, 2024, Based on 2023 Data</v>
      </c>
      <c r="B444" s="1742"/>
      <c r="C444" s="1743"/>
      <c r="D444" s="1743"/>
      <c r="E444" s="1743"/>
      <c r="F444" s="1743"/>
      <c r="G444" s="1743"/>
      <c r="H444" s="1743"/>
      <c r="I444" s="1743"/>
      <c r="J444" s="1743"/>
    </row>
    <row r="445" spans="1:11" ht="15.6">
      <c r="A445" s="489"/>
      <c r="B445" s="489"/>
      <c r="C445" s="526"/>
      <c r="D445" s="526"/>
      <c r="E445" s="526"/>
      <c r="F445" s="526"/>
      <c r="G445" s="526"/>
      <c r="H445" s="526"/>
      <c r="I445" s="526"/>
      <c r="J445" s="526"/>
    </row>
    <row r="446" spans="1:11" ht="15.6">
      <c r="C446" s="507"/>
      <c r="D446" s="488" t="s">
        <v>480</v>
      </c>
      <c r="E446" s="488" t="s">
        <v>481</v>
      </c>
      <c r="F446" s="488" t="s">
        <v>482</v>
      </c>
      <c r="G446" s="488" t="s">
        <v>483</v>
      </c>
      <c r="H446" s="488" t="s">
        <v>484</v>
      </c>
      <c r="I446" s="488" t="s">
        <v>884</v>
      </c>
      <c r="J446" s="488" t="s">
        <v>485</v>
      </c>
    </row>
    <row r="447" spans="1:11" ht="15.6">
      <c r="D447" s="488"/>
      <c r="E447" s="488" t="str">
        <f t="shared" ref="E447:F449" si="38">E367</f>
        <v>100%</v>
      </c>
      <c r="F447" s="488" t="str">
        <f t="shared" si="38"/>
        <v>100%</v>
      </c>
      <c r="G447" s="488"/>
      <c r="H447" s="488"/>
      <c r="I447" s="488" t="str">
        <f t="shared" ref="I447:J449" si="39">I367</f>
        <v>Total</v>
      </c>
      <c r="J447" s="488" t="str">
        <f t="shared" si="39"/>
        <v xml:space="preserve"> </v>
      </c>
    </row>
    <row r="448" spans="1:11" ht="15.6">
      <c r="D448" s="488" t="str">
        <f>D368</f>
        <v xml:space="preserve"> </v>
      </c>
      <c r="E448" s="488" t="str">
        <f t="shared" si="38"/>
        <v>NonGeneration</v>
      </c>
      <c r="F448" s="488" t="str">
        <f t="shared" si="38"/>
        <v>Generation</v>
      </c>
      <c r="G448" s="488" t="str">
        <f>G368</f>
        <v xml:space="preserve">Plant </v>
      </c>
      <c r="H448" s="488" t="str">
        <f>H368</f>
        <v>Labor</v>
      </c>
      <c r="I448" s="488" t="str">
        <f t="shared" si="39"/>
        <v>Added</v>
      </c>
      <c r="J448" s="488" t="str">
        <f t="shared" si="39"/>
        <v>Description</v>
      </c>
    </row>
    <row r="449" spans="1:10" ht="15.6">
      <c r="D449" s="488" t="str">
        <f>D369</f>
        <v>YE Balance</v>
      </c>
      <c r="E449" s="488" t="str">
        <f t="shared" si="38"/>
        <v>Related</v>
      </c>
      <c r="F449" s="488" t="str">
        <f t="shared" si="38"/>
        <v>Related</v>
      </c>
      <c r="G449" s="488" t="str">
        <f>G369</f>
        <v>Related</v>
      </c>
      <c r="H449" s="488" t="str">
        <f>H369</f>
        <v>Related</v>
      </c>
      <c r="I449" s="488" t="str">
        <f t="shared" si="39"/>
        <v>to Ratebase</v>
      </c>
      <c r="J449" s="488" t="str">
        <f t="shared" si="39"/>
        <v>and Justification</v>
      </c>
    </row>
    <row r="450" spans="1:10" ht="12.75" customHeight="1">
      <c r="D450" s="503"/>
      <c r="G450" s="503"/>
      <c r="H450" s="503"/>
      <c r="I450" s="503"/>
      <c r="J450" s="503"/>
    </row>
    <row r="451" spans="1:10" ht="12.75" customHeight="1">
      <c r="A451" s="499" t="s">
        <v>531</v>
      </c>
      <c r="B451" s="500" t="s">
        <v>1078</v>
      </c>
      <c r="C451" s="501" t="s">
        <v>880</v>
      </c>
      <c r="G451" s="510"/>
      <c r="H451" s="510"/>
      <c r="J451" s="527"/>
    </row>
    <row r="452" spans="1:10" ht="12.75" customHeight="1">
      <c r="A452" s="759"/>
      <c r="B452" s="758"/>
      <c r="C452" s="760" t="s">
        <v>1533</v>
      </c>
      <c r="D452" s="759"/>
      <c r="E452" s="759"/>
      <c r="F452" s="759"/>
      <c r="G452" s="761"/>
      <c r="H452" s="761"/>
      <c r="I452" s="759"/>
      <c r="J452" s="762"/>
    </row>
    <row r="453" spans="1:10">
      <c r="A453" s="618">
        <v>1</v>
      </c>
      <c r="B453" s="1349">
        <v>283300</v>
      </c>
      <c r="C453" s="1349" t="s">
        <v>3155</v>
      </c>
      <c r="D453" s="1383">
        <v>979953.11</v>
      </c>
      <c r="E453" s="1350">
        <v>979953.11</v>
      </c>
      <c r="F453" s="1383">
        <v>0</v>
      </c>
      <c r="G453" s="1383">
        <v>0</v>
      </c>
      <c r="H453" s="1383">
        <v>0</v>
      </c>
      <c r="I453" s="1383"/>
      <c r="J453" s="1352" t="s">
        <v>3156</v>
      </c>
    </row>
    <row r="454" spans="1:10" ht="26.4">
      <c r="A454" s="618">
        <f>+A453+1</f>
        <v>2</v>
      </c>
      <c r="B454" s="1349">
        <v>283300</v>
      </c>
      <c r="C454" s="1349" t="s">
        <v>3279</v>
      </c>
      <c r="D454" s="1383">
        <v>0</v>
      </c>
      <c r="E454" s="1383">
        <v>0</v>
      </c>
      <c r="F454" s="1383">
        <v>0</v>
      </c>
      <c r="G454" s="1383">
        <v>0</v>
      </c>
      <c r="H454" s="1383">
        <v>0</v>
      </c>
      <c r="I454" s="1384"/>
      <c r="J454" s="1352" t="s">
        <v>3287</v>
      </c>
    </row>
    <row r="455" spans="1:10">
      <c r="A455" s="618">
        <f t="shared" ref="A455:A473" si="40">A454+1</f>
        <v>3</v>
      </c>
      <c r="B455" s="1349">
        <v>283300</v>
      </c>
      <c r="C455" s="1349" t="s">
        <v>162</v>
      </c>
      <c r="D455" s="1383">
        <v>-45150</v>
      </c>
      <c r="E455" s="1383">
        <v>-45150</v>
      </c>
      <c r="F455" s="1383">
        <v>0</v>
      </c>
      <c r="G455" s="1383">
        <v>0</v>
      </c>
      <c r="H455" s="1383">
        <v>0</v>
      </c>
      <c r="I455" s="1384"/>
      <c r="J455" s="1352" t="s">
        <v>787</v>
      </c>
    </row>
    <row r="456" spans="1:10" ht="16.2" customHeight="1">
      <c r="A456" s="618">
        <f t="shared" si="40"/>
        <v>4</v>
      </c>
      <c r="B456" s="1349">
        <v>283300</v>
      </c>
      <c r="C456" s="1349" t="s">
        <v>402</v>
      </c>
      <c r="D456" s="1383">
        <v>13476997.4</v>
      </c>
      <c r="E456" s="1350">
        <v>13476997.4</v>
      </c>
      <c r="F456" s="1383">
        <v>0</v>
      </c>
      <c r="G456" s="1383">
        <v>0</v>
      </c>
      <c r="H456" s="1383">
        <v>0</v>
      </c>
      <c r="I456" s="1384"/>
      <c r="J456" s="1352" t="s">
        <v>575</v>
      </c>
    </row>
    <row r="457" spans="1:10" ht="26.4" customHeight="1">
      <c r="A457" s="618">
        <f t="shared" si="40"/>
        <v>5</v>
      </c>
      <c r="B457" s="1349">
        <v>283300</v>
      </c>
      <c r="C457" s="1352" t="s">
        <v>1580</v>
      </c>
      <c r="D457" s="1385">
        <v>0</v>
      </c>
      <c r="E457" s="1385">
        <v>0</v>
      </c>
      <c r="F457" s="1385">
        <v>0</v>
      </c>
      <c r="G457" s="1385">
        <v>0</v>
      </c>
      <c r="H457" s="1385">
        <v>0</v>
      </c>
      <c r="I457" s="1386"/>
      <c r="J457" s="1352" t="s">
        <v>1579</v>
      </c>
    </row>
    <row r="458" spans="1:10" ht="26.4">
      <c r="A458" s="618">
        <f t="shared" si="40"/>
        <v>6</v>
      </c>
      <c r="B458" s="1349">
        <v>283300</v>
      </c>
      <c r="C458" s="1352" t="s">
        <v>576</v>
      </c>
      <c r="D458" s="1385">
        <v>418481.52</v>
      </c>
      <c r="E458" s="1385">
        <v>418481.52</v>
      </c>
      <c r="F458" s="1385">
        <v>0</v>
      </c>
      <c r="G458" s="1385">
        <v>0</v>
      </c>
      <c r="H458" s="1385">
        <v>0</v>
      </c>
      <c r="I458" s="1386"/>
      <c r="J458" s="1352" t="s">
        <v>577</v>
      </c>
    </row>
    <row r="459" spans="1:10">
      <c r="A459" s="618">
        <f t="shared" si="40"/>
        <v>7</v>
      </c>
      <c r="B459" s="1349">
        <v>283300</v>
      </c>
      <c r="C459" s="1349" t="s">
        <v>578</v>
      </c>
      <c r="D459" s="1383">
        <v>192121.22</v>
      </c>
      <c r="E459" s="1383">
        <v>192121.22</v>
      </c>
      <c r="F459" s="1385">
        <v>0</v>
      </c>
      <c r="G459" s="1385">
        <v>0</v>
      </c>
      <c r="H459" s="1385">
        <v>0</v>
      </c>
      <c r="I459" s="1386"/>
      <c r="J459" s="1352" t="s">
        <v>788</v>
      </c>
    </row>
    <row r="460" spans="1:10">
      <c r="A460" s="618">
        <f t="shared" si="40"/>
        <v>8</v>
      </c>
      <c r="B460" s="1349">
        <v>283300</v>
      </c>
      <c r="C460" s="1387" t="s">
        <v>3157</v>
      </c>
      <c r="D460" s="1385">
        <v>1254768.17</v>
      </c>
      <c r="E460" s="1385">
        <v>1254768.17</v>
      </c>
      <c r="F460" s="1385">
        <v>0</v>
      </c>
      <c r="G460" s="1385">
        <v>0</v>
      </c>
      <c r="H460" s="1385">
        <v>0</v>
      </c>
      <c r="I460" s="1386"/>
      <c r="J460" s="1374" t="s">
        <v>3158</v>
      </c>
    </row>
    <row r="461" spans="1:10" ht="26.4">
      <c r="A461" s="618">
        <f t="shared" si="40"/>
        <v>9</v>
      </c>
      <c r="B461" s="1349">
        <v>283300</v>
      </c>
      <c r="C461" s="1352" t="s">
        <v>636</v>
      </c>
      <c r="D461" s="1385">
        <v>0</v>
      </c>
      <c r="E461" s="1385">
        <v>0</v>
      </c>
      <c r="F461" s="1385">
        <v>0</v>
      </c>
      <c r="G461" s="1385">
        <v>0</v>
      </c>
      <c r="H461" s="1385">
        <v>0</v>
      </c>
      <c r="I461" s="1386"/>
      <c r="J461" s="1352" t="s">
        <v>637</v>
      </c>
    </row>
    <row r="462" spans="1:10" ht="26.4">
      <c r="A462" s="618">
        <f t="shared" si="40"/>
        <v>10</v>
      </c>
      <c r="B462" s="1349">
        <v>283300</v>
      </c>
      <c r="C462" s="1352" t="s">
        <v>1789</v>
      </c>
      <c r="D462" s="1385">
        <v>-3729155.86</v>
      </c>
      <c r="E462" s="1385">
        <v>-3729155.86</v>
      </c>
      <c r="F462" s="1385">
        <v>0</v>
      </c>
      <c r="G462" s="1385">
        <v>0</v>
      </c>
      <c r="H462" s="1385">
        <v>0</v>
      </c>
      <c r="I462" s="1386"/>
      <c r="J462" s="1352" t="s">
        <v>259</v>
      </c>
    </row>
    <row r="463" spans="1:10" ht="26.4">
      <c r="A463" s="618">
        <f t="shared" si="40"/>
        <v>11</v>
      </c>
      <c r="B463" s="1349">
        <v>283300</v>
      </c>
      <c r="C463" s="1352" t="s">
        <v>3610</v>
      </c>
      <c r="D463" s="1385">
        <v>11207455.91</v>
      </c>
      <c r="E463" s="1385">
        <v>11207455.91</v>
      </c>
      <c r="F463" s="1385">
        <v>0</v>
      </c>
      <c r="G463" s="1385">
        <v>0</v>
      </c>
      <c r="H463" s="1385">
        <v>0</v>
      </c>
      <c r="I463" s="1386"/>
      <c r="J463" s="1352" t="s">
        <v>1771</v>
      </c>
    </row>
    <row r="464" spans="1:10">
      <c r="A464" s="618">
        <f t="shared" si="40"/>
        <v>12</v>
      </c>
      <c r="B464" s="1349">
        <v>283300</v>
      </c>
      <c r="C464" s="1352" t="s">
        <v>1787</v>
      </c>
      <c r="D464" s="1385">
        <v>0</v>
      </c>
      <c r="E464" s="1385">
        <v>0</v>
      </c>
      <c r="F464" s="1385">
        <v>0</v>
      </c>
      <c r="G464" s="1385">
        <v>0</v>
      </c>
      <c r="H464" s="1385">
        <v>0</v>
      </c>
      <c r="I464" s="1386"/>
      <c r="J464" s="1352" t="s">
        <v>501</v>
      </c>
    </row>
    <row r="465" spans="1:13">
      <c r="A465" s="619">
        <f>+A464+1</f>
        <v>13</v>
      </c>
      <c r="B465" s="1349">
        <v>283300</v>
      </c>
      <c r="C465" s="1387" t="s">
        <v>1820</v>
      </c>
      <c r="D465" s="1385">
        <v>0</v>
      </c>
      <c r="E465" s="1385">
        <v>0</v>
      </c>
      <c r="F465" s="1385">
        <v>0</v>
      </c>
      <c r="G465" s="1385">
        <v>0</v>
      </c>
      <c r="H465" s="1385">
        <v>0</v>
      </c>
      <c r="I465" s="1386"/>
      <c r="J465" s="1374" t="s">
        <v>1780</v>
      </c>
    </row>
    <row r="466" spans="1:13" ht="26.4">
      <c r="A466" s="619">
        <f>+A465+1</f>
        <v>14</v>
      </c>
      <c r="B466" s="1349">
        <v>283300</v>
      </c>
      <c r="C466" s="1387" t="s">
        <v>1821</v>
      </c>
      <c r="D466" s="1385">
        <v>0</v>
      </c>
      <c r="E466" s="1385">
        <v>0</v>
      </c>
      <c r="F466" s="1383">
        <v>0</v>
      </c>
      <c r="G466" s="1383">
        <v>0</v>
      </c>
      <c r="H466" s="1383">
        <v>0</v>
      </c>
      <c r="I466" s="1386"/>
      <c r="J466" s="1374" t="s">
        <v>638</v>
      </c>
    </row>
    <row r="467" spans="1:13" ht="26.4">
      <c r="A467" s="619">
        <f t="shared" si="40"/>
        <v>15</v>
      </c>
      <c r="B467" s="1349">
        <v>283300</v>
      </c>
      <c r="C467" s="1387" t="s">
        <v>3280</v>
      </c>
      <c r="D467" s="1385">
        <v>0</v>
      </c>
      <c r="E467" s="1385">
        <v>0</v>
      </c>
      <c r="F467" s="1383">
        <v>0</v>
      </c>
      <c r="G467" s="1383">
        <v>0</v>
      </c>
      <c r="H467" s="1383">
        <v>0</v>
      </c>
      <c r="I467" s="1386"/>
      <c r="J467" s="1374" t="s">
        <v>3288</v>
      </c>
    </row>
    <row r="468" spans="1:13" ht="26.4">
      <c r="A468" s="619">
        <f t="shared" si="40"/>
        <v>16</v>
      </c>
      <c r="B468" s="1349">
        <v>283300</v>
      </c>
      <c r="C468" s="1387" t="s">
        <v>639</v>
      </c>
      <c r="D468" s="1385">
        <v>-4614361.51</v>
      </c>
      <c r="E468" s="1385">
        <v>-4614361.51</v>
      </c>
      <c r="F468" s="1385">
        <v>0</v>
      </c>
      <c r="G468" s="1385">
        <v>0</v>
      </c>
      <c r="H468" s="1385">
        <v>0</v>
      </c>
      <c r="I468" s="1386"/>
      <c r="J468" s="1374" t="s">
        <v>1628</v>
      </c>
    </row>
    <row r="469" spans="1:13" ht="26.4">
      <c r="A469" s="619">
        <f>+A468+1</f>
        <v>17</v>
      </c>
      <c r="B469" s="1349">
        <v>283300</v>
      </c>
      <c r="C469" s="1387" t="s">
        <v>1779</v>
      </c>
      <c r="D469" s="1385">
        <v>58896.72</v>
      </c>
      <c r="E469" s="1385">
        <v>58896.72</v>
      </c>
      <c r="F469" s="1383">
        <v>0</v>
      </c>
      <c r="G469" s="1383">
        <v>0</v>
      </c>
      <c r="H469" s="1383">
        <v>0</v>
      </c>
      <c r="I469" s="1386"/>
      <c r="J469" s="1374" t="s">
        <v>640</v>
      </c>
    </row>
    <row r="470" spans="1:13" ht="26.4">
      <c r="A470" s="619">
        <f>+A469+1</f>
        <v>18</v>
      </c>
      <c r="B470" s="1349">
        <v>283300</v>
      </c>
      <c r="C470" s="1387" t="s">
        <v>641</v>
      </c>
      <c r="D470" s="1385">
        <v>0</v>
      </c>
      <c r="E470" s="1385">
        <v>0</v>
      </c>
      <c r="F470" s="1383">
        <v>0</v>
      </c>
      <c r="G470" s="1383">
        <v>0</v>
      </c>
      <c r="H470" s="1383">
        <v>0</v>
      </c>
      <c r="I470" s="1386"/>
      <c r="J470" s="1374" t="s">
        <v>642</v>
      </c>
    </row>
    <row r="471" spans="1:13" ht="26.4">
      <c r="A471" s="619">
        <f>+A470+1</f>
        <v>19</v>
      </c>
      <c r="B471" s="1349">
        <v>283300</v>
      </c>
      <c r="C471" s="1387" t="s">
        <v>3281</v>
      </c>
      <c r="D471" s="1385">
        <v>0</v>
      </c>
      <c r="E471" s="1385">
        <v>0</v>
      </c>
      <c r="F471" s="1383">
        <v>0</v>
      </c>
      <c r="G471" s="1383">
        <v>0</v>
      </c>
      <c r="H471" s="1383">
        <v>0</v>
      </c>
      <c r="I471" s="1386"/>
      <c r="J471" s="1374" t="s">
        <v>3289</v>
      </c>
    </row>
    <row r="472" spans="1:13" ht="13.95" customHeight="1">
      <c r="A472" s="619">
        <f t="shared" si="40"/>
        <v>20</v>
      </c>
      <c r="B472" s="1349">
        <v>283300</v>
      </c>
      <c r="C472" s="1349" t="s">
        <v>3282</v>
      </c>
      <c r="D472" s="1385">
        <v>0</v>
      </c>
      <c r="E472" s="1385">
        <v>0</v>
      </c>
      <c r="F472" s="1383">
        <v>0</v>
      </c>
      <c r="G472" s="1383">
        <v>0</v>
      </c>
      <c r="H472" s="1383">
        <v>0</v>
      </c>
      <c r="I472" s="1351"/>
      <c r="J472" s="1352" t="s">
        <v>3290</v>
      </c>
    </row>
    <row r="473" spans="1:13">
      <c r="A473" s="619">
        <f t="shared" si="40"/>
        <v>21</v>
      </c>
      <c r="B473" s="1349">
        <v>283300</v>
      </c>
      <c r="C473" s="1388" t="s">
        <v>2860</v>
      </c>
      <c r="D473" s="1383">
        <v>2312517.4500000002</v>
      </c>
      <c r="E473" s="1350">
        <v>2312517.4500000002</v>
      </c>
      <c r="F473" s="1383">
        <v>0</v>
      </c>
      <c r="G473" s="1383">
        <v>0</v>
      </c>
      <c r="H473" s="1383">
        <v>0</v>
      </c>
      <c r="I473" s="1351"/>
      <c r="J473" s="1389" t="s">
        <v>2861</v>
      </c>
    </row>
    <row r="474" spans="1:13">
      <c r="A474" s="619">
        <f>+A473+1</f>
        <v>22</v>
      </c>
      <c r="B474" s="1349">
        <v>283300</v>
      </c>
      <c r="C474" s="1388" t="s">
        <v>3283</v>
      </c>
      <c r="D474" s="1383">
        <v>0</v>
      </c>
      <c r="E474" s="1350">
        <v>0</v>
      </c>
      <c r="F474" s="1383">
        <v>0</v>
      </c>
      <c r="G474" s="1383">
        <v>0</v>
      </c>
      <c r="H474" s="1383">
        <v>0</v>
      </c>
      <c r="I474" s="1351"/>
      <c r="J474" s="1389" t="s">
        <v>3291</v>
      </c>
      <c r="K474" s="1335"/>
      <c r="L474" s="1336"/>
      <c r="M474" s="769"/>
    </row>
    <row r="475" spans="1:13" ht="26.4">
      <c r="A475" s="619">
        <f>+A474+1</f>
        <v>23</v>
      </c>
      <c r="B475" s="1349">
        <v>283300</v>
      </c>
      <c r="C475" s="1388" t="s">
        <v>2600</v>
      </c>
      <c r="D475" s="1383">
        <v>477956.29</v>
      </c>
      <c r="E475" s="1350">
        <v>477956.29</v>
      </c>
      <c r="F475" s="1383">
        <v>0</v>
      </c>
      <c r="G475" s="1383">
        <v>0</v>
      </c>
      <c r="H475" s="1383">
        <v>0</v>
      </c>
      <c r="I475" s="1351"/>
      <c r="J475" s="1389" t="s">
        <v>2601</v>
      </c>
      <c r="K475" s="1335"/>
    </row>
    <row r="476" spans="1:13">
      <c r="A476" s="619">
        <f t="shared" ref="A476:A488" si="41">+A475+1</f>
        <v>24</v>
      </c>
      <c r="B476" s="1349">
        <v>283300</v>
      </c>
      <c r="C476" s="1388" t="s">
        <v>3490</v>
      </c>
      <c r="D476" s="1383">
        <v>94695.59</v>
      </c>
      <c r="E476" s="1350">
        <v>94695.59</v>
      </c>
      <c r="F476" s="1383">
        <v>0</v>
      </c>
      <c r="G476" s="1383">
        <v>0</v>
      </c>
      <c r="H476" s="1383">
        <v>0</v>
      </c>
      <c r="I476" s="1351"/>
      <c r="J476" s="1389" t="s">
        <v>3491</v>
      </c>
      <c r="K476" s="1335"/>
    </row>
    <row r="477" spans="1:13">
      <c r="A477" s="619">
        <f t="shared" si="41"/>
        <v>25</v>
      </c>
      <c r="B477" s="1349">
        <v>283300</v>
      </c>
      <c r="C477" s="1388" t="s">
        <v>3492</v>
      </c>
      <c r="D477" s="1383">
        <v>854227.42</v>
      </c>
      <c r="E477" s="1350">
        <v>854227.42</v>
      </c>
      <c r="F477" s="1383">
        <v>0</v>
      </c>
      <c r="G477" s="1383">
        <v>0</v>
      </c>
      <c r="H477" s="1383">
        <v>0</v>
      </c>
      <c r="I477" s="1351"/>
      <c r="J477" s="1390" t="s">
        <v>3493</v>
      </c>
      <c r="K477" s="1335"/>
    </row>
    <row r="478" spans="1:13">
      <c r="A478" s="619">
        <f t="shared" si="41"/>
        <v>26</v>
      </c>
      <c r="B478" s="1349">
        <v>283300</v>
      </c>
      <c r="C478" s="1388" t="s">
        <v>3494</v>
      </c>
      <c r="D478" s="1383">
        <v>3757345.41</v>
      </c>
      <c r="E478" s="1350"/>
      <c r="F478" s="1383">
        <v>0</v>
      </c>
      <c r="G478" s="1383">
        <v>0</v>
      </c>
      <c r="H478" s="1383">
        <v>3757345.41</v>
      </c>
      <c r="I478" s="1351"/>
      <c r="J478" s="1389" t="s">
        <v>3495</v>
      </c>
      <c r="K478" s="1335"/>
    </row>
    <row r="479" spans="1:13">
      <c r="A479" s="619">
        <f t="shared" si="41"/>
        <v>27</v>
      </c>
      <c r="B479" s="1349">
        <v>283300</v>
      </c>
      <c r="C479" s="1388" t="s">
        <v>3496</v>
      </c>
      <c r="D479" s="1383">
        <v>-72488.22</v>
      </c>
      <c r="E479" s="1350">
        <v>-72488.22</v>
      </c>
      <c r="F479" s="1383">
        <v>0</v>
      </c>
      <c r="G479" s="1383">
        <v>0</v>
      </c>
      <c r="H479" s="1383">
        <v>0</v>
      </c>
      <c r="I479" s="1351"/>
      <c r="J479" s="1389" t="s">
        <v>3497</v>
      </c>
      <c r="K479" s="1335"/>
    </row>
    <row r="480" spans="1:13" ht="26.4">
      <c r="A480" s="619">
        <f t="shared" si="41"/>
        <v>28</v>
      </c>
      <c r="B480" s="1349">
        <v>283300</v>
      </c>
      <c r="C480" s="1388" t="s">
        <v>3498</v>
      </c>
      <c r="D480" s="1383">
        <v>14497.62</v>
      </c>
      <c r="E480" s="1350">
        <v>14497.62</v>
      </c>
      <c r="F480" s="1383">
        <v>0</v>
      </c>
      <c r="G480" s="1383">
        <v>0</v>
      </c>
      <c r="H480" s="1383">
        <v>0</v>
      </c>
      <c r="I480" s="1351"/>
      <c r="J480" s="1389" t="s">
        <v>3499</v>
      </c>
      <c r="K480" s="1335"/>
    </row>
    <row r="481" spans="1:11">
      <c r="A481" s="619">
        <f t="shared" si="41"/>
        <v>29</v>
      </c>
      <c r="B481" s="1349">
        <v>283300</v>
      </c>
      <c r="C481" s="1388" t="s">
        <v>3500</v>
      </c>
      <c r="D481" s="1383">
        <v>338440.83</v>
      </c>
      <c r="E481" s="1350">
        <v>338440.83</v>
      </c>
      <c r="F481" s="1383">
        <v>0</v>
      </c>
      <c r="G481" s="1383">
        <v>0</v>
      </c>
      <c r="H481" s="1383">
        <v>0</v>
      </c>
      <c r="I481" s="1351"/>
      <c r="J481" s="1390" t="s">
        <v>3501</v>
      </c>
      <c r="K481" s="1335"/>
    </row>
    <row r="482" spans="1:11">
      <c r="A482" s="619">
        <f t="shared" si="41"/>
        <v>30</v>
      </c>
      <c r="B482" s="1349">
        <v>283300</v>
      </c>
      <c r="C482" s="1388" t="s">
        <v>3284</v>
      </c>
      <c r="D482" s="1383">
        <v>0</v>
      </c>
      <c r="E482" s="1383">
        <v>0</v>
      </c>
      <c r="F482" s="1383">
        <v>0</v>
      </c>
      <c r="G482" s="1383">
        <v>0</v>
      </c>
      <c r="H482" s="1383">
        <v>0</v>
      </c>
      <c r="I482" s="1355"/>
      <c r="J482" s="1390" t="s">
        <v>3292</v>
      </c>
      <c r="K482" s="1335"/>
    </row>
    <row r="483" spans="1:11" ht="26.4">
      <c r="A483" s="619">
        <f t="shared" si="41"/>
        <v>31</v>
      </c>
      <c r="B483" s="1349">
        <v>283300</v>
      </c>
      <c r="C483" s="1388" t="s">
        <v>1630</v>
      </c>
      <c r="D483" s="1383">
        <v>0</v>
      </c>
      <c r="E483" s="1383">
        <v>0</v>
      </c>
      <c r="F483" s="1383">
        <v>0</v>
      </c>
      <c r="G483" s="1383">
        <v>0</v>
      </c>
      <c r="H483" s="1383">
        <v>0</v>
      </c>
      <c r="I483" s="1349"/>
      <c r="J483" s="1389" t="s">
        <v>1629</v>
      </c>
      <c r="K483" s="1335"/>
    </row>
    <row r="484" spans="1:11" ht="13.2" customHeight="1">
      <c r="A484" s="619">
        <f t="shared" si="41"/>
        <v>32</v>
      </c>
      <c r="B484" s="1349">
        <v>283300</v>
      </c>
      <c r="C484" s="1388" t="s">
        <v>1772</v>
      </c>
      <c r="D484" s="1369">
        <v>8767284.0399999991</v>
      </c>
      <c r="E484" s="1369">
        <v>8767284.0399999991</v>
      </c>
      <c r="F484" s="1383">
        <v>0</v>
      </c>
      <c r="G484" s="1383">
        <v>0</v>
      </c>
      <c r="H484" s="1383">
        <v>0</v>
      </c>
      <c r="I484" s="1349"/>
      <c r="J484" s="1389" t="s">
        <v>1774</v>
      </c>
      <c r="K484" s="1335"/>
    </row>
    <row r="485" spans="1:11" ht="13.2" customHeight="1">
      <c r="A485" s="619">
        <f t="shared" si="41"/>
        <v>33</v>
      </c>
      <c r="B485" s="1349">
        <v>283300</v>
      </c>
      <c r="C485" s="1388" t="s">
        <v>2602</v>
      </c>
      <c r="D485" s="1369">
        <v>0.01</v>
      </c>
      <c r="E485" s="1383">
        <v>0.01</v>
      </c>
      <c r="F485" s="1383">
        <v>0</v>
      </c>
      <c r="G485" s="1383">
        <v>0</v>
      </c>
      <c r="H485" s="1383">
        <v>0</v>
      </c>
      <c r="I485" s="1349"/>
      <c r="J485" s="1389" t="s">
        <v>2605</v>
      </c>
      <c r="K485" s="1335"/>
    </row>
    <row r="486" spans="1:11" ht="13.2" customHeight="1">
      <c r="A486" s="619">
        <f t="shared" si="41"/>
        <v>34</v>
      </c>
      <c r="B486" s="1349">
        <v>283300</v>
      </c>
      <c r="C486" s="1388" t="s">
        <v>2603</v>
      </c>
      <c r="D486" s="1369">
        <v>1040725.62</v>
      </c>
      <c r="E486" s="1383">
        <v>1040725.62</v>
      </c>
      <c r="F486" s="1383">
        <v>0</v>
      </c>
      <c r="G486" s="1383">
        <v>0</v>
      </c>
      <c r="H486" s="1383">
        <v>0</v>
      </c>
      <c r="I486" s="1349"/>
      <c r="J486" s="1389" t="s">
        <v>2606</v>
      </c>
      <c r="K486" s="1335"/>
    </row>
    <row r="487" spans="1:11" ht="13.2" customHeight="1">
      <c r="A487" s="619">
        <f t="shared" si="41"/>
        <v>35</v>
      </c>
      <c r="B487" s="1349">
        <v>283300</v>
      </c>
      <c r="C487" s="1388" t="s">
        <v>2604</v>
      </c>
      <c r="D487" s="1369">
        <v>1218693.94</v>
      </c>
      <c r="E487" s="1383">
        <v>1218693.94</v>
      </c>
      <c r="F487" s="1383">
        <v>0</v>
      </c>
      <c r="G487" s="1383">
        <v>0</v>
      </c>
      <c r="H487" s="1383">
        <v>0</v>
      </c>
      <c r="I487" s="1349"/>
      <c r="J487" s="1389" t="s">
        <v>2607</v>
      </c>
      <c r="K487" s="1335"/>
    </row>
    <row r="488" spans="1:11" ht="13.2" customHeight="1">
      <c r="A488" s="619">
        <f t="shared" si="41"/>
        <v>36</v>
      </c>
      <c r="B488" s="1349">
        <v>283300</v>
      </c>
      <c r="C488" s="1388" t="s">
        <v>3285</v>
      </c>
      <c r="D488" s="1369">
        <v>8259457.5300000003</v>
      </c>
      <c r="E488" s="1383">
        <v>8259457.5300000003</v>
      </c>
      <c r="F488" s="1383">
        <v>0</v>
      </c>
      <c r="G488" s="1383">
        <v>0</v>
      </c>
      <c r="H488" s="1383">
        <v>0</v>
      </c>
      <c r="I488" s="1349"/>
      <c r="J488" s="1389" t="s">
        <v>3293</v>
      </c>
      <c r="K488" s="1335"/>
    </row>
    <row r="489" spans="1:11" ht="13.2" customHeight="1">
      <c r="A489" s="619">
        <f t="shared" ref="A489:A492" si="42">+A488+1</f>
        <v>37</v>
      </c>
      <c r="B489" s="1349">
        <v>283300</v>
      </c>
      <c r="C489" s="1388" t="s">
        <v>2961</v>
      </c>
      <c r="D489" s="1369">
        <v>4753413</v>
      </c>
      <c r="E489" s="1383">
        <v>4753413</v>
      </c>
      <c r="F489" s="1383">
        <v>0</v>
      </c>
      <c r="G489" s="1383">
        <v>0</v>
      </c>
      <c r="H489" s="1383">
        <v>0</v>
      </c>
      <c r="I489" s="1349"/>
      <c r="J489" s="1389" t="s">
        <v>2963</v>
      </c>
      <c r="K489" s="1335"/>
    </row>
    <row r="490" spans="1:11" ht="21" customHeight="1">
      <c r="A490" s="619"/>
      <c r="B490" s="1349"/>
      <c r="C490" s="1359" t="s">
        <v>3286</v>
      </c>
      <c r="D490" s="1383">
        <v>0</v>
      </c>
      <c r="E490" s="1383">
        <v>0</v>
      </c>
      <c r="F490" s="1383">
        <v>0</v>
      </c>
      <c r="G490" s="1383">
        <v>0</v>
      </c>
      <c r="H490" s="1383">
        <v>0</v>
      </c>
      <c r="I490" s="1349"/>
      <c r="J490" s="1389"/>
      <c r="K490" s="1335"/>
    </row>
    <row r="491" spans="1:11" ht="13.2" customHeight="1">
      <c r="A491" s="619">
        <f>+A489+1</f>
        <v>38</v>
      </c>
      <c r="B491" s="1349">
        <v>283300</v>
      </c>
      <c r="C491" s="1388" t="s">
        <v>3159</v>
      </c>
      <c r="D491" s="1369">
        <v>9112122.1199999992</v>
      </c>
      <c r="E491" s="1383">
        <v>10458119.029999999</v>
      </c>
      <c r="F491" s="1383">
        <v>21077.59</v>
      </c>
      <c r="G491" s="1383">
        <v>-36508.160000000003</v>
      </c>
      <c r="H491" s="1383">
        <v>-1330566.3799999999</v>
      </c>
      <c r="I491" s="1349"/>
      <c r="J491" s="1389" t="s">
        <v>3160</v>
      </c>
      <c r="K491" s="1335"/>
    </row>
    <row r="492" spans="1:11" ht="13.2" customHeight="1">
      <c r="A492" s="619">
        <f t="shared" si="42"/>
        <v>39</v>
      </c>
      <c r="B492" s="1349">
        <v>283300</v>
      </c>
      <c r="C492" s="1388" t="s">
        <v>3161</v>
      </c>
      <c r="D492" s="1369">
        <v>33885644.909999996</v>
      </c>
      <c r="E492" s="1383">
        <v>33885644.909999996</v>
      </c>
      <c r="F492" s="1383">
        <v>0</v>
      </c>
      <c r="G492" s="1383">
        <v>0</v>
      </c>
      <c r="H492" s="1383">
        <v>0</v>
      </c>
      <c r="I492" s="1349"/>
      <c r="J492" s="1389" t="s">
        <v>3162</v>
      </c>
      <c r="K492" s="1335"/>
    </row>
    <row r="493" spans="1:11" ht="20.399999999999999">
      <c r="A493" s="1740" t="str">
        <f>A443</f>
        <v>WORKSHEET A (EKC), ADIT ACCOUNT 283</v>
      </c>
      <c r="B493" s="1740"/>
      <c r="C493" s="1740"/>
      <c r="D493" s="1740"/>
      <c r="E493" s="1740"/>
      <c r="F493" s="1740"/>
      <c r="G493" s="1740"/>
      <c r="H493" s="1740"/>
      <c r="I493" s="1740"/>
      <c r="J493" s="1740"/>
    </row>
    <row r="494" spans="1:11" ht="19.2">
      <c r="A494" s="1742" t="str">
        <f>A2</f>
        <v>For Contract Year Beginning June 1, 2024, Based on 2023 Data</v>
      </c>
      <c r="B494" s="1742"/>
      <c r="C494" s="1743"/>
      <c r="D494" s="1743"/>
      <c r="E494" s="1743"/>
      <c r="F494" s="1743"/>
      <c r="G494" s="1743"/>
      <c r="H494" s="1743"/>
      <c r="I494" s="1743"/>
      <c r="J494" s="1743"/>
    </row>
    <row r="495" spans="1:11" ht="15.6">
      <c r="A495" s="489"/>
      <c r="B495" s="489"/>
      <c r="C495" s="526"/>
      <c r="D495" s="526"/>
      <c r="E495" s="526"/>
      <c r="F495" s="526"/>
      <c r="G495" s="526"/>
      <c r="H495" s="526"/>
      <c r="I495" s="526"/>
      <c r="J495" s="526"/>
    </row>
    <row r="496" spans="1:11" ht="15.6">
      <c r="C496" s="507"/>
      <c r="D496" s="488" t="s">
        <v>480</v>
      </c>
      <c r="E496" s="488" t="s">
        <v>481</v>
      </c>
      <c r="F496" s="488" t="s">
        <v>482</v>
      </c>
      <c r="G496" s="488" t="s">
        <v>483</v>
      </c>
      <c r="H496" s="488" t="s">
        <v>484</v>
      </c>
      <c r="I496" s="488" t="s">
        <v>884</v>
      </c>
      <c r="J496" s="488" t="s">
        <v>485</v>
      </c>
    </row>
    <row r="497" spans="1:10" ht="15.6">
      <c r="D497" s="488"/>
      <c r="E497" s="488" t="str">
        <f t="shared" ref="E497:F499" si="43">E447</f>
        <v>100%</v>
      </c>
      <c r="F497" s="488" t="str">
        <f t="shared" si="43"/>
        <v>100%</v>
      </c>
      <c r="G497" s="488"/>
      <c r="H497" s="488"/>
      <c r="I497" s="488" t="str">
        <f t="shared" ref="I497:J499" si="44">I447</f>
        <v>Total</v>
      </c>
      <c r="J497" s="488" t="str">
        <f t="shared" si="44"/>
        <v xml:space="preserve"> </v>
      </c>
    </row>
    <row r="498" spans="1:10" ht="15.6">
      <c r="D498" s="488"/>
      <c r="E498" s="488" t="str">
        <f t="shared" si="43"/>
        <v>NonGeneration</v>
      </c>
      <c r="F498" s="488" t="str">
        <f t="shared" si="43"/>
        <v>Generation</v>
      </c>
      <c r="G498" s="488" t="str">
        <f>G448</f>
        <v xml:space="preserve">Plant </v>
      </c>
      <c r="H498" s="488" t="str">
        <f>H448</f>
        <v>Labor</v>
      </c>
      <c r="I498" s="488" t="str">
        <f t="shared" si="44"/>
        <v>Added</v>
      </c>
      <c r="J498" s="488" t="str">
        <f t="shared" si="44"/>
        <v>Description</v>
      </c>
    </row>
    <row r="499" spans="1:10" ht="15.6">
      <c r="D499" s="488" t="str">
        <f>D449</f>
        <v>YE Balance</v>
      </c>
      <c r="E499" s="488" t="str">
        <f t="shared" si="43"/>
        <v>Related</v>
      </c>
      <c r="F499" s="488" t="str">
        <f t="shared" si="43"/>
        <v>Related</v>
      </c>
      <c r="G499" s="488" t="str">
        <f>G449</f>
        <v>Related</v>
      </c>
      <c r="H499" s="488" t="str">
        <f>H449</f>
        <v>Related</v>
      </c>
      <c r="I499" s="488" t="str">
        <f t="shared" si="44"/>
        <v>to Ratebase</v>
      </c>
      <c r="J499" s="488" t="str">
        <f t="shared" si="44"/>
        <v>and Justification</v>
      </c>
    </row>
    <row r="500" spans="1:10" ht="13.8">
      <c r="D500" s="503"/>
      <c r="G500" s="503"/>
      <c r="H500" s="503"/>
      <c r="I500" s="503"/>
      <c r="J500" s="503"/>
    </row>
    <row r="501" spans="1:10">
      <c r="A501" s="499" t="s">
        <v>531</v>
      </c>
      <c r="B501" s="500" t="s">
        <v>1078</v>
      </c>
      <c r="C501" s="501" t="s">
        <v>880</v>
      </c>
      <c r="G501" s="510"/>
      <c r="H501" s="510"/>
      <c r="J501" s="527"/>
    </row>
    <row r="502" spans="1:10">
      <c r="A502" s="758"/>
      <c r="B502" s="1391"/>
      <c r="C502" s="1392" t="s">
        <v>1230</v>
      </c>
      <c r="D502" s="1393"/>
      <c r="E502" s="1394"/>
      <c r="F502" s="1393"/>
      <c r="G502" s="1393"/>
      <c r="H502" s="1393"/>
      <c r="I502" s="1346"/>
      <c r="J502" s="1347"/>
    </row>
    <row r="503" spans="1:10">
      <c r="A503" s="618">
        <f>+A492+1</f>
        <v>40</v>
      </c>
      <c r="B503" s="1362">
        <v>283310</v>
      </c>
      <c r="C503" s="1362" t="s">
        <v>3246</v>
      </c>
      <c r="D503" s="1395">
        <v>9945810.5199999996</v>
      </c>
      <c r="E503" s="1395">
        <v>9945810.5199999996</v>
      </c>
      <c r="F503" s="1395">
        <v>0</v>
      </c>
      <c r="G503" s="1395">
        <v>0</v>
      </c>
      <c r="H503" s="1395">
        <v>0</v>
      </c>
      <c r="I503" s="1396"/>
      <c r="J503" s="1362" t="s">
        <v>1408</v>
      </c>
    </row>
    <row r="504" spans="1:10">
      <c r="A504" s="618">
        <f>+A503+1</f>
        <v>41</v>
      </c>
      <c r="B504" s="1362">
        <v>283321</v>
      </c>
      <c r="C504" s="1362" t="s">
        <v>1822</v>
      </c>
      <c r="D504" s="1395">
        <v>89318.36</v>
      </c>
      <c r="E504" s="1395">
        <v>89318.36</v>
      </c>
      <c r="F504" s="1395">
        <v>0</v>
      </c>
      <c r="G504" s="1395">
        <v>0</v>
      </c>
      <c r="H504" s="1395">
        <v>0</v>
      </c>
      <c r="I504" s="1396"/>
      <c r="J504" s="1362" t="s">
        <v>1408</v>
      </c>
    </row>
    <row r="505" spans="1:10">
      <c r="A505" s="618">
        <f>+A504+1</f>
        <v>42</v>
      </c>
      <c r="B505" s="1362">
        <v>283321</v>
      </c>
      <c r="C505" s="1362" t="s">
        <v>1823</v>
      </c>
      <c r="D505" s="1395">
        <v>8685066.5500000007</v>
      </c>
      <c r="E505" s="1395">
        <v>8685066.5500000007</v>
      </c>
      <c r="F505" s="1383">
        <v>0</v>
      </c>
      <c r="G505" s="1383">
        <v>0</v>
      </c>
      <c r="H505" s="1383">
        <v>0</v>
      </c>
      <c r="I505" s="1396"/>
      <c r="J505" s="1362" t="s">
        <v>1408</v>
      </c>
    </row>
    <row r="506" spans="1:10">
      <c r="A506" s="618">
        <f>+A505+1</f>
        <v>43</v>
      </c>
      <c r="B506" s="1362">
        <v>283350</v>
      </c>
      <c r="C506" s="1362" t="s">
        <v>3611</v>
      </c>
      <c r="D506" s="1395">
        <v>-713896.46</v>
      </c>
      <c r="E506" s="1395">
        <v>-713896.46</v>
      </c>
      <c r="F506" s="1383">
        <v>0</v>
      </c>
      <c r="G506" s="1383">
        <v>0</v>
      </c>
      <c r="H506" s="1383">
        <v>0</v>
      </c>
      <c r="I506" s="1396"/>
      <c r="J506" s="1362" t="s">
        <v>1408</v>
      </c>
    </row>
    <row r="507" spans="1:10">
      <c r="A507" s="618"/>
      <c r="B507" s="1391"/>
      <c r="C507" s="1347"/>
      <c r="D507" s="1393"/>
      <c r="E507" s="1393"/>
      <c r="F507" s="1393"/>
      <c r="G507" s="1393"/>
      <c r="H507" s="1393"/>
      <c r="I507" s="1346"/>
      <c r="J507" s="1347"/>
    </row>
    <row r="508" spans="1:10">
      <c r="A508" s="618"/>
      <c r="B508" s="1397"/>
      <c r="C508" s="1398" t="s">
        <v>2741</v>
      </c>
      <c r="D508" s="1339"/>
      <c r="E508" s="1399"/>
      <c r="F508" s="1399"/>
      <c r="G508" s="1399"/>
      <c r="H508" s="1399"/>
      <c r="I508" s="1400"/>
      <c r="J508" s="1397"/>
    </row>
    <row r="509" spans="1:10">
      <c r="A509" s="618">
        <f>+A506+1</f>
        <v>44</v>
      </c>
      <c r="B509" s="1401">
        <v>283601</v>
      </c>
      <c r="C509" s="1402" t="s">
        <v>3163</v>
      </c>
      <c r="D509" s="1403">
        <v>2725067.52</v>
      </c>
      <c r="E509" s="1403">
        <v>2725067.52</v>
      </c>
      <c r="F509" s="1395">
        <v>0</v>
      </c>
      <c r="G509" s="1395">
        <v>0</v>
      </c>
      <c r="H509" s="1395">
        <v>0</v>
      </c>
      <c r="I509" s="1404"/>
      <c r="J509" s="1401" t="s">
        <v>2703</v>
      </c>
    </row>
    <row r="510" spans="1:10">
      <c r="A510" s="618">
        <f>+A509+1</f>
        <v>45</v>
      </c>
      <c r="B510" s="1401">
        <v>283602</v>
      </c>
      <c r="C510" s="1402" t="s">
        <v>3164</v>
      </c>
      <c r="D510" s="1403">
        <v>-42997767.020000003</v>
      </c>
      <c r="E510" s="1403">
        <v>-42997767.020000003</v>
      </c>
      <c r="F510" s="1395">
        <v>0</v>
      </c>
      <c r="G510" s="1395">
        <v>0</v>
      </c>
      <c r="H510" s="1395">
        <v>0</v>
      </c>
      <c r="I510" s="1404"/>
      <c r="J510" s="1401" t="s">
        <v>2703</v>
      </c>
    </row>
    <row r="511" spans="1:10">
      <c r="A511" s="618">
        <f>+A510+1</f>
        <v>46</v>
      </c>
      <c r="B511" s="1401">
        <v>283603</v>
      </c>
      <c r="C511" s="1402" t="s">
        <v>3151</v>
      </c>
      <c r="D511" s="1403">
        <v>5803987.1100000003</v>
      </c>
      <c r="E511" s="1403">
        <v>5803987.1100000003</v>
      </c>
      <c r="F511" s="1395">
        <v>0</v>
      </c>
      <c r="G511" s="1395">
        <v>0</v>
      </c>
      <c r="H511" s="1395">
        <v>0</v>
      </c>
      <c r="I511" s="1404"/>
      <c r="J511" s="1401" t="s">
        <v>2703</v>
      </c>
    </row>
    <row r="512" spans="1:10">
      <c r="A512" s="618">
        <f>+A511+1</f>
        <v>47</v>
      </c>
      <c r="B512" s="1401">
        <v>283604</v>
      </c>
      <c r="C512" s="1402" t="s">
        <v>3164</v>
      </c>
      <c r="D512" s="1403"/>
      <c r="E512" s="1403">
        <v>0</v>
      </c>
      <c r="F512" s="1395">
        <v>0</v>
      </c>
      <c r="G512" s="1395">
        <v>0</v>
      </c>
      <c r="H512" s="1395">
        <v>0</v>
      </c>
      <c r="I512" s="1404"/>
      <c r="J512" s="1401" t="s">
        <v>2703</v>
      </c>
    </row>
    <row r="513" spans="1:11">
      <c r="A513" s="618">
        <f>+A512+1</f>
        <v>48</v>
      </c>
      <c r="B513" s="1401">
        <v>283300</v>
      </c>
      <c r="C513" s="1402" t="s">
        <v>3294</v>
      </c>
      <c r="D513" s="1403">
        <v>0</v>
      </c>
      <c r="E513" s="1403">
        <v>0</v>
      </c>
      <c r="F513" s="1395">
        <v>0</v>
      </c>
      <c r="G513" s="1395">
        <v>0</v>
      </c>
      <c r="H513" s="1395">
        <v>0</v>
      </c>
      <c r="I513" s="1404"/>
      <c r="J513" s="1401" t="s">
        <v>2703</v>
      </c>
    </row>
    <row r="514" spans="1:11" ht="12.75" customHeight="1">
      <c r="A514" s="609"/>
      <c r="B514" s="484"/>
      <c r="D514" s="508"/>
      <c r="E514" s="508"/>
      <c r="F514" s="508"/>
      <c r="G514" s="509"/>
      <c r="H514" s="528"/>
      <c r="I514" s="508"/>
    </row>
    <row r="515" spans="1:11" ht="12.75" customHeight="1">
      <c r="A515" s="504">
        <f>+A513+1</f>
        <v>49</v>
      </c>
      <c r="C515" s="515" t="s">
        <v>2301</v>
      </c>
      <c r="D515" s="1366">
        <f>SUM(D452:D513)</f>
        <v>77552126.819999978</v>
      </c>
      <c r="E515" s="508">
        <f>SUM(E452:E513)</f>
        <v>75140778.320000008</v>
      </c>
      <c r="F515" s="508">
        <f>SUM(F452:F513)</f>
        <v>21077.59</v>
      </c>
      <c r="G515" s="529">
        <f>SUM(G452:G513)</f>
        <v>-36508.160000000003</v>
      </c>
      <c r="H515" s="529">
        <f>SUM(H452:H513)</f>
        <v>2426779.0300000003</v>
      </c>
      <c r="I515" s="508"/>
      <c r="K515" s="528"/>
    </row>
    <row r="516" spans="1:11" ht="12.75" customHeight="1">
      <c r="A516" s="504">
        <f>A515+1</f>
        <v>50</v>
      </c>
      <c r="C516" s="512" t="s">
        <v>507</v>
      </c>
      <c r="D516" s="508"/>
      <c r="E516" s="508"/>
      <c r="F516" s="508"/>
      <c r="G516" s="529"/>
      <c r="H516" s="529"/>
      <c r="I516" s="508"/>
    </row>
    <row r="517" spans="1:11" ht="12.75" customHeight="1">
      <c r="A517" s="504">
        <f>A516+1</f>
        <v>51</v>
      </c>
      <c r="C517" s="512" t="s">
        <v>508</v>
      </c>
      <c r="D517" s="508"/>
      <c r="E517" s="508"/>
      <c r="F517" s="508"/>
      <c r="G517" s="529"/>
      <c r="H517" s="529"/>
      <c r="I517" s="508"/>
    </row>
    <row r="518" spans="1:11" ht="12.75" customHeight="1">
      <c r="A518" s="504">
        <f>A517+1</f>
        <v>52</v>
      </c>
      <c r="C518" s="512" t="s">
        <v>468</v>
      </c>
      <c r="D518" s="529">
        <f>D515-D516-D517</f>
        <v>77552126.819999978</v>
      </c>
      <c r="E518" s="529">
        <f>E515-E516-E517</f>
        <v>75140778.320000008</v>
      </c>
      <c r="F518" s="529">
        <f>F515-F516-F517</f>
        <v>21077.59</v>
      </c>
      <c r="G518" s="529">
        <f>G515-G516-G517</f>
        <v>-36508.160000000003</v>
      </c>
      <c r="H518" s="529">
        <f>H515-H516-H517</f>
        <v>2426779.0300000003</v>
      </c>
      <c r="I518" s="508"/>
    </row>
    <row r="519" spans="1:11" ht="12.75" customHeight="1">
      <c r="A519" s="504">
        <f>A518+1</f>
        <v>53</v>
      </c>
      <c r="C519" s="518" t="s">
        <v>2328</v>
      </c>
      <c r="D519" s="516"/>
      <c r="E519" s="530">
        <f>E442</f>
        <v>0</v>
      </c>
      <c r="F519" s="530">
        <v>1</v>
      </c>
      <c r="G519" s="530">
        <f>G441</f>
        <v>0.50821559584268561</v>
      </c>
      <c r="H519" s="530">
        <f>H441</f>
        <v>0.73673230862335481</v>
      </c>
    </row>
    <row r="520" spans="1:11" ht="12.75" customHeight="1">
      <c r="A520" s="504">
        <f>A519+1</f>
        <v>54</v>
      </c>
      <c r="C520" s="512" t="s">
        <v>468</v>
      </c>
      <c r="E520" s="498">
        <f>E518*E519</f>
        <v>0</v>
      </c>
      <c r="F520" s="498">
        <f>F518*F519</f>
        <v>21077.59</v>
      </c>
      <c r="G520" s="498">
        <f>G518*G519</f>
        <v>-18554.016287520102</v>
      </c>
      <c r="H520" s="498">
        <f>H518*H519</f>
        <v>1787886.5172906457</v>
      </c>
      <c r="I520" s="520">
        <f>SUM(E520:H520)</f>
        <v>1790410.0910031255</v>
      </c>
      <c r="J520" s="484" t="s">
        <v>24</v>
      </c>
    </row>
    <row r="521" spans="1:11" ht="20.399999999999999">
      <c r="A521" s="1736" t="s">
        <v>2997</v>
      </c>
      <c r="B521" s="1736"/>
      <c r="C521" s="1737"/>
      <c r="D521" s="1737"/>
      <c r="E521" s="1737"/>
      <c r="F521" s="1737"/>
      <c r="G521" s="1737"/>
      <c r="H521" s="1737"/>
      <c r="I521" s="1737"/>
      <c r="J521" s="1737"/>
    </row>
    <row r="522" spans="1:11" ht="19.2">
      <c r="A522" s="1738" t="str">
        <f>A2</f>
        <v>For Contract Year Beginning June 1, 2024, Based on 2023 Data</v>
      </c>
      <c r="B522" s="1738"/>
      <c r="C522" s="1739"/>
      <c r="D522" s="1739"/>
      <c r="E522" s="1739"/>
      <c r="F522" s="1739"/>
      <c r="G522" s="1739"/>
      <c r="H522" s="1739"/>
      <c r="I522" s="1739"/>
      <c r="J522" s="1739"/>
    </row>
    <row r="523" spans="1:11" ht="15.6">
      <c r="A523" s="488"/>
      <c r="B523" s="488"/>
      <c r="C523" s="531"/>
      <c r="D523" s="531"/>
      <c r="E523" s="531"/>
      <c r="F523" s="531"/>
      <c r="G523" s="531"/>
      <c r="H523" s="531"/>
      <c r="I523" s="531"/>
      <c r="J523" s="531"/>
    </row>
    <row r="524" spans="1:11" ht="15.6">
      <c r="A524" s="532"/>
      <c r="B524" s="532"/>
      <c r="C524" s="533"/>
      <c r="D524" s="488" t="s">
        <v>480</v>
      </c>
      <c r="E524" s="488" t="s">
        <v>481</v>
      </c>
      <c r="F524" s="488" t="s">
        <v>482</v>
      </c>
      <c r="G524" s="488" t="s">
        <v>483</v>
      </c>
      <c r="H524" s="488" t="s">
        <v>484</v>
      </c>
      <c r="I524" s="488" t="s">
        <v>884</v>
      </c>
      <c r="J524" s="488"/>
    </row>
    <row r="525" spans="1:11" ht="15.6">
      <c r="A525" s="532"/>
      <c r="B525" s="532"/>
      <c r="C525" s="510"/>
      <c r="D525" s="488"/>
      <c r="E525" s="488" t="s">
        <v>789</v>
      </c>
      <c r="F525" s="488" t="s">
        <v>789</v>
      </c>
      <c r="G525" s="488" t="s">
        <v>476</v>
      </c>
      <c r="H525" s="488" t="s">
        <v>476</v>
      </c>
      <c r="I525" s="488" t="s">
        <v>468</v>
      </c>
      <c r="J525" s="488"/>
    </row>
    <row r="526" spans="1:11" ht="15.6">
      <c r="A526" s="532"/>
      <c r="B526" s="532"/>
      <c r="C526" s="510"/>
      <c r="D526" s="488" t="s">
        <v>476</v>
      </c>
      <c r="E526" s="488" t="s">
        <v>1231</v>
      </c>
      <c r="F526" s="488" t="s">
        <v>1232</v>
      </c>
      <c r="G526" s="488" t="s">
        <v>477</v>
      </c>
      <c r="H526" s="488" t="s">
        <v>478</v>
      </c>
      <c r="I526" s="488" t="s">
        <v>1079</v>
      </c>
      <c r="J526" s="488" t="s">
        <v>486</v>
      </c>
    </row>
    <row r="527" spans="1:11" ht="15.6">
      <c r="A527" s="532"/>
      <c r="B527" s="532"/>
      <c r="C527" s="510"/>
      <c r="D527" s="488" t="s">
        <v>487</v>
      </c>
      <c r="E527" s="488" t="s">
        <v>479</v>
      </c>
      <c r="F527" s="488" t="s">
        <v>479</v>
      </c>
      <c r="G527" s="488" t="s">
        <v>479</v>
      </c>
      <c r="H527" s="488" t="s">
        <v>479</v>
      </c>
      <c r="I527" s="488" t="s">
        <v>299</v>
      </c>
      <c r="J527" s="488" t="s">
        <v>300</v>
      </c>
    </row>
    <row r="528" spans="1:11" ht="12.75" customHeight="1">
      <c r="A528" s="532"/>
      <c r="B528" s="532"/>
      <c r="C528" s="510"/>
      <c r="D528" s="503"/>
      <c r="E528" s="510"/>
      <c r="F528" s="510"/>
      <c r="G528" s="503"/>
      <c r="H528" s="503"/>
      <c r="I528" s="503"/>
      <c r="J528" s="503"/>
    </row>
    <row r="529" spans="1:10" ht="12.75" customHeight="1">
      <c r="A529" s="534" t="s">
        <v>531</v>
      </c>
      <c r="B529" s="535" t="s">
        <v>1078</v>
      </c>
      <c r="C529" s="536" t="s">
        <v>880</v>
      </c>
      <c r="D529" s="510"/>
      <c r="E529" s="510"/>
      <c r="F529" s="510"/>
      <c r="G529" s="510"/>
      <c r="H529" s="510"/>
      <c r="I529" s="510"/>
      <c r="J529" s="537"/>
    </row>
    <row r="530" spans="1:10" ht="12.75" customHeight="1">
      <c r="A530" s="619">
        <v>1</v>
      </c>
      <c r="B530" s="1405">
        <v>228100</v>
      </c>
      <c r="C530" s="1406" t="s">
        <v>2337</v>
      </c>
      <c r="D530" s="1407">
        <v>3868507.97</v>
      </c>
      <c r="E530" s="1408">
        <v>0</v>
      </c>
      <c r="F530" s="1408">
        <v>0</v>
      </c>
      <c r="G530" s="1383">
        <v>0</v>
      </c>
      <c r="H530" s="1408">
        <v>3868507.97</v>
      </c>
      <c r="I530" s="1383">
        <v>0</v>
      </c>
      <c r="J530" s="1406" t="s">
        <v>3303</v>
      </c>
    </row>
    <row r="531" spans="1:10" ht="12.75" customHeight="1">
      <c r="A531" s="619">
        <f>A530+1</f>
        <v>2</v>
      </c>
      <c r="B531" s="1405">
        <v>228200</v>
      </c>
      <c r="C531" s="1406" t="s">
        <v>3572</v>
      </c>
      <c r="D531" s="1407">
        <v>4091239.9</v>
      </c>
      <c r="E531" s="1408">
        <v>0</v>
      </c>
      <c r="F531" s="1408">
        <v>0</v>
      </c>
      <c r="G531" s="1383">
        <v>0</v>
      </c>
      <c r="H531" s="1408">
        <v>4091239.9</v>
      </c>
      <c r="I531" s="1383">
        <v>0</v>
      </c>
      <c r="J531" s="1406" t="s">
        <v>3304</v>
      </c>
    </row>
    <row r="532" spans="1:10" ht="12.75" customHeight="1">
      <c r="A532" s="619">
        <f t="shared" ref="A532:A553" si="45">A531+1</f>
        <v>3</v>
      </c>
      <c r="B532" s="1405">
        <v>228201</v>
      </c>
      <c r="C532" s="1406" t="s">
        <v>3295</v>
      </c>
      <c r="D532" s="1407">
        <v>91727.15</v>
      </c>
      <c r="E532" s="1408">
        <v>0</v>
      </c>
      <c r="F532" s="1408">
        <v>0</v>
      </c>
      <c r="G532" s="1383">
        <v>0</v>
      </c>
      <c r="H532" s="1408">
        <v>91727.15</v>
      </c>
      <c r="I532" s="1383">
        <v>0</v>
      </c>
      <c r="J532" s="1406" t="s">
        <v>3304</v>
      </c>
    </row>
    <row r="533" spans="1:10" ht="12.75" customHeight="1">
      <c r="A533" s="619">
        <f t="shared" si="45"/>
        <v>4</v>
      </c>
      <c r="B533" s="1405">
        <v>228203</v>
      </c>
      <c r="C533" s="1406" t="s">
        <v>3666</v>
      </c>
      <c r="D533" s="1410">
        <v>631780.6</v>
      </c>
      <c r="E533" s="1411">
        <v>0</v>
      </c>
      <c r="F533" s="1411">
        <v>0</v>
      </c>
      <c r="G533" s="1383">
        <v>0</v>
      </c>
      <c r="H533" s="1408">
        <v>631780.6</v>
      </c>
      <c r="I533" s="1383">
        <v>0</v>
      </c>
      <c r="J533" s="1406" t="s">
        <v>3666</v>
      </c>
    </row>
    <row r="534" spans="1:10" ht="12.75" customHeight="1">
      <c r="A534" s="619">
        <f t="shared" si="45"/>
        <v>5</v>
      </c>
      <c r="B534" s="1405">
        <v>228206</v>
      </c>
      <c r="C534" s="1406" t="s">
        <v>3296</v>
      </c>
      <c r="D534" s="1410">
        <v>714771.78</v>
      </c>
      <c r="E534" s="1411">
        <v>0</v>
      </c>
      <c r="F534" s="1411">
        <v>0</v>
      </c>
      <c r="G534" s="1383">
        <v>0</v>
      </c>
      <c r="H534" s="1408">
        <v>714771.78</v>
      </c>
      <c r="I534" s="1383">
        <v>0</v>
      </c>
      <c r="J534" s="1406" t="s">
        <v>3296</v>
      </c>
    </row>
    <row r="535" spans="1:10" ht="12.75" customHeight="1">
      <c r="A535" s="619">
        <f>+A534+1</f>
        <v>6</v>
      </c>
      <c r="B535" s="1405">
        <v>228410</v>
      </c>
      <c r="C535" s="1406" t="s">
        <v>3297</v>
      </c>
      <c r="D535" s="1410">
        <v>3031936.39</v>
      </c>
      <c r="E535" s="1411">
        <v>0</v>
      </c>
      <c r="F535" s="1411">
        <v>0</v>
      </c>
      <c r="G535" s="1383">
        <v>0</v>
      </c>
      <c r="H535" s="1408">
        <v>3031936.39</v>
      </c>
      <c r="I535" s="1383">
        <v>0</v>
      </c>
      <c r="J535" s="1406" t="s">
        <v>3306</v>
      </c>
    </row>
    <row r="536" spans="1:10" ht="12.75" customHeight="1">
      <c r="A536" s="619">
        <f t="shared" si="45"/>
        <v>7</v>
      </c>
      <c r="B536" s="1405">
        <v>242900</v>
      </c>
      <c r="C536" s="1406" t="s">
        <v>3298</v>
      </c>
      <c r="D536" s="1410">
        <v>0</v>
      </c>
      <c r="E536" s="1411">
        <v>0</v>
      </c>
      <c r="F536" s="1411">
        <v>0</v>
      </c>
      <c r="G536" s="1383">
        <v>0</v>
      </c>
      <c r="H536" s="1408">
        <v>0</v>
      </c>
      <c r="I536" s="1383">
        <v>0</v>
      </c>
      <c r="J536" s="1413" t="s">
        <v>2701</v>
      </c>
    </row>
    <row r="537" spans="1:10" ht="12.75" customHeight="1">
      <c r="A537" s="619">
        <f t="shared" si="45"/>
        <v>8</v>
      </c>
      <c r="B537" s="1414">
        <v>242901</v>
      </c>
      <c r="C537" s="1413" t="s">
        <v>3299</v>
      </c>
      <c r="D537" s="1410">
        <v>13481232.17</v>
      </c>
      <c r="E537" s="1411">
        <v>0</v>
      </c>
      <c r="F537" s="1411">
        <v>0</v>
      </c>
      <c r="G537" s="1383">
        <v>0</v>
      </c>
      <c r="H537" s="1408">
        <v>13481232.17</v>
      </c>
      <c r="I537" s="1383">
        <v>0</v>
      </c>
      <c r="J537" s="1413" t="s">
        <v>2701</v>
      </c>
    </row>
    <row r="538" spans="1:10" ht="12.75" customHeight="1">
      <c r="A538" s="619">
        <f t="shared" si="45"/>
        <v>9</v>
      </c>
      <c r="B538" s="1414">
        <v>242902</v>
      </c>
      <c r="C538" s="1413" t="s">
        <v>3300</v>
      </c>
      <c r="D538" s="1410">
        <v>-13140997.710000001</v>
      </c>
      <c r="E538" s="1411">
        <v>0</v>
      </c>
      <c r="F538" s="1411">
        <v>0</v>
      </c>
      <c r="G538" s="1383">
        <v>0</v>
      </c>
      <c r="H538" s="1408">
        <v>-13140997.710000001</v>
      </c>
      <c r="I538" s="1383">
        <v>0</v>
      </c>
      <c r="J538" s="1413" t="s">
        <v>2701</v>
      </c>
    </row>
    <row r="539" spans="1:10" ht="12.75" customHeight="1">
      <c r="A539" s="619">
        <f t="shared" si="45"/>
        <v>10</v>
      </c>
      <c r="B539" s="1414">
        <v>242904</v>
      </c>
      <c r="C539" s="1413" t="s">
        <v>3301</v>
      </c>
      <c r="D539" s="1410">
        <v>2741699.31</v>
      </c>
      <c r="E539" s="1411">
        <v>0</v>
      </c>
      <c r="F539" s="1411">
        <v>0</v>
      </c>
      <c r="G539" s="1383">
        <v>0</v>
      </c>
      <c r="H539" s="1408">
        <v>2741699.31</v>
      </c>
      <c r="I539" s="1383">
        <v>0</v>
      </c>
      <c r="J539" s="1413" t="s">
        <v>2701</v>
      </c>
    </row>
    <row r="540" spans="1:10" ht="12.75" customHeight="1">
      <c r="A540" s="619">
        <f t="shared" si="45"/>
        <v>11</v>
      </c>
      <c r="B540" s="1414">
        <v>242909</v>
      </c>
      <c r="C540" s="1415" t="s">
        <v>3302</v>
      </c>
      <c r="D540" s="1410">
        <v>4067120.44</v>
      </c>
      <c r="E540" s="1411">
        <v>0</v>
      </c>
      <c r="F540" s="1411">
        <v>0</v>
      </c>
      <c r="G540" s="1383">
        <v>0</v>
      </c>
      <c r="H540" s="1408">
        <v>4067120.44</v>
      </c>
      <c r="I540" s="1383">
        <v>0</v>
      </c>
      <c r="J540" s="1416" t="s">
        <v>2701</v>
      </c>
    </row>
    <row r="541" spans="1:10" ht="12.75" customHeight="1">
      <c r="A541" s="619">
        <f>+A540+1</f>
        <v>12</v>
      </c>
      <c r="B541" s="1414">
        <v>236501</v>
      </c>
      <c r="C541" s="1413" t="s">
        <v>3171</v>
      </c>
      <c r="D541" s="1410">
        <v>887928.87</v>
      </c>
      <c r="E541" s="1411">
        <v>0</v>
      </c>
      <c r="F541" s="1411">
        <v>0</v>
      </c>
      <c r="G541" s="1383">
        <v>0</v>
      </c>
      <c r="H541" s="1408">
        <v>887928.87</v>
      </c>
      <c r="I541" s="1383">
        <v>0</v>
      </c>
      <c r="J541" s="1413" t="s">
        <v>3171</v>
      </c>
    </row>
    <row r="542" spans="1:10" ht="12.75" customHeight="1">
      <c r="A542" s="619">
        <f>+A541+1</f>
        <v>13</v>
      </c>
      <c r="B542" s="1291"/>
      <c r="C542" s="611"/>
      <c r="D542" s="611"/>
      <c r="E542" s="611"/>
      <c r="F542" s="611"/>
      <c r="G542" s="611"/>
      <c r="H542" s="611"/>
      <c r="I542" s="611"/>
      <c r="J542" s="611"/>
    </row>
    <row r="543" spans="1:10" ht="12.75" customHeight="1">
      <c r="A543" s="619">
        <f t="shared" si="45"/>
        <v>14</v>
      </c>
      <c r="B543" s="549"/>
      <c r="C543" s="552"/>
      <c r="D543" s="554"/>
      <c r="E543" s="554"/>
      <c r="F543" s="554"/>
      <c r="G543" s="555"/>
      <c r="H543" s="554"/>
      <c r="I543" s="556"/>
      <c r="J543" s="552"/>
    </row>
    <row r="544" spans="1:10" ht="12.75" customHeight="1">
      <c r="A544" s="619">
        <f t="shared" si="45"/>
        <v>15</v>
      </c>
      <c r="B544" s="549"/>
      <c r="C544" s="552"/>
      <c r="D544" s="554"/>
      <c r="E544" s="554"/>
      <c r="F544" s="554"/>
      <c r="G544" s="555"/>
      <c r="H544" s="554"/>
      <c r="I544" s="556"/>
      <c r="J544" s="552"/>
    </row>
    <row r="545" spans="1:10" ht="12.75" customHeight="1">
      <c r="A545" s="619">
        <f t="shared" si="45"/>
        <v>16</v>
      </c>
      <c r="B545" s="549"/>
      <c r="C545" s="552"/>
      <c r="D545" s="554"/>
      <c r="E545" s="554"/>
      <c r="F545" s="554"/>
      <c r="G545" s="555"/>
      <c r="H545" s="554"/>
      <c r="I545" s="556"/>
      <c r="J545" s="552"/>
    </row>
    <row r="546" spans="1:10" ht="12.75" customHeight="1">
      <c r="A546" s="619">
        <f>A545+1</f>
        <v>17</v>
      </c>
      <c r="B546" s="549"/>
      <c r="C546" s="557"/>
      <c r="D546" s="554"/>
      <c r="E546" s="554"/>
      <c r="F546" s="554"/>
      <c r="G546" s="555"/>
      <c r="H546" s="554"/>
      <c r="I546" s="556"/>
      <c r="J546" s="558"/>
    </row>
    <row r="547" spans="1:10" ht="12.75" customHeight="1">
      <c r="A547" s="619">
        <f>A546+1</f>
        <v>18</v>
      </c>
      <c r="B547" s="549"/>
      <c r="C547" s="559"/>
      <c r="D547" s="554"/>
      <c r="E547" s="554"/>
      <c r="F547" s="554"/>
      <c r="G547" s="555"/>
      <c r="H547" s="554"/>
      <c r="I547" s="556"/>
      <c r="J547" s="552"/>
    </row>
    <row r="548" spans="1:10" ht="12.75" customHeight="1">
      <c r="A548" s="619">
        <f>+A547+1</f>
        <v>19</v>
      </c>
      <c r="B548" s="549"/>
      <c r="C548" s="560"/>
      <c r="D548" s="554"/>
      <c r="E548" s="554"/>
      <c r="F548" s="554"/>
      <c r="G548" s="555"/>
      <c r="H548" s="554"/>
      <c r="I548" s="556"/>
      <c r="J548" s="558"/>
    </row>
    <row r="549" spans="1:10" ht="12.75" customHeight="1">
      <c r="A549" s="619">
        <f>+A548+1</f>
        <v>20</v>
      </c>
      <c r="B549" s="549"/>
      <c r="C549" s="557"/>
      <c r="D549" s="554"/>
      <c r="E549" s="554"/>
      <c r="F549" s="554"/>
      <c r="G549" s="555"/>
      <c r="H549" s="554"/>
      <c r="I549" s="556"/>
      <c r="J549" s="558"/>
    </row>
    <row r="550" spans="1:10" ht="12.75" customHeight="1">
      <c r="A550" s="619">
        <f>+A549+1</f>
        <v>21</v>
      </c>
      <c r="B550" s="549"/>
      <c r="C550" s="557"/>
      <c r="D550" s="554"/>
      <c r="E550" s="554"/>
      <c r="F550" s="554"/>
      <c r="G550" s="555"/>
      <c r="H550" s="554"/>
      <c r="I550" s="556"/>
      <c r="J550" s="558"/>
    </row>
    <row r="551" spans="1:10" ht="12.75" customHeight="1">
      <c r="A551" s="619">
        <f>+A550+1</f>
        <v>22</v>
      </c>
      <c r="B551" s="549"/>
      <c r="C551" s="552"/>
      <c r="D551" s="554"/>
      <c r="E551" s="554"/>
      <c r="F551" s="554"/>
      <c r="G551" s="555"/>
      <c r="H551" s="554"/>
      <c r="I551" s="556"/>
      <c r="J551" s="552"/>
    </row>
    <row r="552" spans="1:10" ht="12.75" customHeight="1">
      <c r="A552" s="619">
        <f t="shared" si="45"/>
        <v>23</v>
      </c>
      <c r="B552" s="549"/>
      <c r="C552" s="552"/>
      <c r="D552" s="561"/>
      <c r="E552" s="554"/>
      <c r="F552" s="554"/>
      <c r="G552" s="562"/>
      <c r="H552" s="554"/>
      <c r="I552" s="556"/>
      <c r="J552" s="552"/>
    </row>
    <row r="553" spans="1:10" ht="12.75" customHeight="1">
      <c r="A553" s="619">
        <f t="shared" si="45"/>
        <v>24</v>
      </c>
      <c r="B553" s="549"/>
      <c r="C553" s="552"/>
      <c r="D553" s="561"/>
      <c r="E553" s="554"/>
      <c r="F553" s="554"/>
      <c r="G553" s="562"/>
      <c r="H553" s="554"/>
      <c r="I553" s="556"/>
      <c r="J553" s="552"/>
    </row>
    <row r="554" spans="1:10">
      <c r="A554" s="505"/>
      <c r="B554" s="510"/>
      <c r="C554" s="510"/>
      <c r="D554" s="528"/>
      <c r="E554" s="528"/>
      <c r="F554" s="528"/>
      <c r="G554" s="538"/>
      <c r="H554" s="528"/>
      <c r="I554" s="528"/>
      <c r="J554" s="510"/>
    </row>
    <row r="555" spans="1:10">
      <c r="A555" s="505">
        <f>+A553+1</f>
        <v>25</v>
      </c>
      <c r="B555" s="532"/>
      <c r="C555" s="512" t="s">
        <v>2301</v>
      </c>
      <c r="D555" s="528">
        <f>SUM(D530:D553)</f>
        <v>20466946.870000001</v>
      </c>
      <c r="E555" s="528">
        <f>SUM(E530:E553)</f>
        <v>0</v>
      </c>
      <c r="F555" s="528">
        <f>SUM(F530:F553)</f>
        <v>0</v>
      </c>
      <c r="G555" s="529">
        <f>SUM(G530:G553)</f>
        <v>0</v>
      </c>
      <c r="H555" s="529">
        <f>SUM(H530:H553)</f>
        <v>20466946.870000001</v>
      </c>
      <c r="I555" s="528"/>
      <c r="J555" s="510"/>
    </row>
    <row r="556" spans="1:10">
      <c r="A556" s="505">
        <f>A555+1</f>
        <v>26</v>
      </c>
      <c r="B556" s="532"/>
      <c r="C556" s="512" t="s">
        <v>507</v>
      </c>
      <c r="D556" s="528"/>
      <c r="E556" s="528"/>
      <c r="F556" s="528"/>
      <c r="G556" s="529"/>
      <c r="H556" s="529"/>
      <c r="I556" s="528"/>
      <c r="J556" s="510"/>
    </row>
    <row r="557" spans="1:10">
      <c r="A557" s="505">
        <f>A556+1</f>
        <v>27</v>
      </c>
      <c r="B557" s="532"/>
      <c r="C557" s="512" t="s">
        <v>508</v>
      </c>
      <c r="D557" s="528"/>
      <c r="E557" s="528"/>
      <c r="F557" s="528"/>
      <c r="G557" s="529"/>
      <c r="H557" s="529"/>
      <c r="I557" s="528"/>
      <c r="J557" s="510"/>
    </row>
    <row r="558" spans="1:10">
      <c r="A558" s="505">
        <f>A557+1</f>
        <v>28</v>
      </c>
      <c r="B558" s="532"/>
      <c r="C558" s="512" t="s">
        <v>468</v>
      </c>
      <c r="D558" s="529">
        <f>D555-D556-D557</f>
        <v>20466946.870000001</v>
      </c>
      <c r="E558" s="529">
        <f>E555-E556-E557</f>
        <v>0</v>
      </c>
      <c r="F558" s="529">
        <f>F555-F556-F557</f>
        <v>0</v>
      </c>
      <c r="G558" s="529">
        <f>G555-G556-G557</f>
        <v>0</v>
      </c>
      <c r="H558" s="529">
        <f>H555-H556-H557</f>
        <v>20466946.870000001</v>
      </c>
      <c r="I558" s="528"/>
      <c r="J558" s="510"/>
    </row>
    <row r="559" spans="1:10">
      <c r="A559" s="505">
        <f>A558+1</f>
        <v>29</v>
      </c>
      <c r="B559" s="532"/>
      <c r="C559" s="518" t="s">
        <v>2328</v>
      </c>
      <c r="D559" s="498"/>
      <c r="E559" s="519">
        <f>E520</f>
        <v>0</v>
      </c>
      <c r="F559" s="519">
        <v>1</v>
      </c>
      <c r="G559" s="519">
        <f>G519</f>
        <v>0.50821559584268561</v>
      </c>
      <c r="H559" s="519">
        <f>H519</f>
        <v>0.73673230862335481</v>
      </c>
      <c r="I559" s="510"/>
      <c r="J559" s="510"/>
    </row>
    <row r="560" spans="1:10" ht="12.75" customHeight="1">
      <c r="A560" s="505">
        <f>A559+1</f>
        <v>30</v>
      </c>
      <c r="B560" s="532"/>
      <c r="C560" s="512" t="s">
        <v>468</v>
      </c>
      <c r="D560" s="510"/>
      <c r="E560" s="498">
        <f>E558*E559</f>
        <v>0</v>
      </c>
      <c r="F560" s="498">
        <f>F558*F559</f>
        <v>0</v>
      </c>
      <c r="G560" s="498">
        <f>G558*G559</f>
        <v>0</v>
      </c>
      <c r="H560" s="498">
        <f>H558*H559</f>
        <v>15078661.018006647</v>
      </c>
      <c r="I560" s="520">
        <f>SUM(E560:H560)</f>
        <v>15078661.018006647</v>
      </c>
      <c r="J560" s="510" t="s">
        <v>24</v>
      </c>
    </row>
    <row r="561" spans="1:10">
      <c r="A561" s="484"/>
      <c r="B561" s="484"/>
    </row>
    <row r="562" spans="1:10">
      <c r="A562" s="484"/>
      <c r="B562" s="484"/>
    </row>
    <row r="563" spans="1:10">
      <c r="A563" s="484"/>
      <c r="B563" s="484"/>
    </row>
    <row r="564" spans="1:10">
      <c r="A564" s="484"/>
      <c r="B564" s="484"/>
    </row>
    <row r="565" spans="1:10">
      <c r="A565" s="484"/>
      <c r="B565" s="484"/>
    </row>
    <row r="566" spans="1:10">
      <c r="A566" s="510"/>
      <c r="B566" s="510"/>
      <c r="C566" s="510"/>
      <c r="D566" s="510"/>
      <c r="E566" s="510"/>
      <c r="F566" s="510"/>
      <c r="G566" s="510"/>
      <c r="H566" s="510"/>
      <c r="I566" s="510"/>
      <c r="J566" s="510"/>
    </row>
    <row r="567" spans="1:10">
      <c r="A567" s="484"/>
      <c r="B567" s="484"/>
    </row>
    <row r="568" spans="1:10">
      <c r="A568" s="484"/>
      <c r="B568" s="484"/>
    </row>
    <row r="569" spans="1:10">
      <c r="A569" s="484"/>
      <c r="B569" s="484"/>
    </row>
    <row r="570" spans="1:10">
      <c r="A570" s="484"/>
      <c r="B570" s="484"/>
    </row>
    <row r="571" spans="1:10">
      <c r="A571" s="484"/>
      <c r="B571" s="484"/>
    </row>
    <row r="572" spans="1:10">
      <c r="A572" s="484"/>
      <c r="B572" s="484"/>
    </row>
    <row r="573" spans="1:10">
      <c r="A573" s="484"/>
      <c r="B573" s="484"/>
    </row>
    <row r="574" spans="1:10" ht="21.75" customHeight="1">
      <c r="A574" s="484"/>
      <c r="B574" s="484"/>
    </row>
    <row r="575" spans="1:10">
      <c r="A575" s="484"/>
      <c r="B575" s="484"/>
    </row>
    <row r="576" spans="1:10">
      <c r="A576" s="510"/>
      <c r="B576" s="510"/>
      <c r="C576" s="510"/>
      <c r="D576" s="510"/>
      <c r="E576" s="510"/>
      <c r="F576" s="510"/>
      <c r="G576" s="510"/>
      <c r="H576" s="510"/>
      <c r="I576" s="510"/>
      <c r="J576" s="510"/>
    </row>
    <row r="577" spans="1:2">
      <c r="A577" s="484"/>
      <c r="B577" s="484"/>
    </row>
    <row r="578" spans="1:2">
      <c r="A578" s="484"/>
      <c r="B578" s="484"/>
    </row>
    <row r="579" spans="1:2">
      <c r="A579" s="484"/>
      <c r="B579" s="484"/>
    </row>
    <row r="580" spans="1:2">
      <c r="A580" s="484"/>
      <c r="B580" s="484"/>
    </row>
    <row r="581" spans="1:2">
      <c r="A581" s="484"/>
      <c r="B581" s="484"/>
    </row>
    <row r="582" spans="1:2">
      <c r="A582" s="484"/>
      <c r="B582" s="484"/>
    </row>
    <row r="583" spans="1:2">
      <c r="A583" s="484"/>
      <c r="B583" s="484"/>
    </row>
    <row r="584" spans="1:2">
      <c r="A584" s="484"/>
      <c r="B584" s="484"/>
    </row>
    <row r="585" spans="1:2">
      <c r="A585" s="484"/>
      <c r="B585" s="484"/>
    </row>
    <row r="586" spans="1:2">
      <c r="A586" s="484"/>
      <c r="B586" s="484"/>
    </row>
    <row r="587" spans="1:2">
      <c r="A587" s="484"/>
      <c r="B587" s="484"/>
    </row>
    <row r="588" spans="1:2">
      <c r="A588" s="484"/>
      <c r="B588" s="484"/>
    </row>
    <row r="589" spans="1:2">
      <c r="A589" s="484"/>
      <c r="B589" s="484"/>
    </row>
    <row r="590" spans="1:2">
      <c r="A590" s="484"/>
      <c r="B590" s="484"/>
    </row>
    <row r="591" spans="1:2">
      <c r="A591" s="484"/>
      <c r="B591" s="484"/>
    </row>
    <row r="592" spans="1:2">
      <c r="A592" s="484"/>
      <c r="B592" s="484"/>
    </row>
    <row r="593" spans="1:10">
      <c r="A593" s="484"/>
      <c r="B593" s="484"/>
    </row>
    <row r="594" spans="1:10">
      <c r="A594" s="484"/>
      <c r="B594" s="484"/>
    </row>
    <row r="595" spans="1:10" ht="12.75" customHeight="1">
      <c r="A595" s="510"/>
      <c r="B595" s="510"/>
      <c r="C595" s="510"/>
      <c r="D595" s="510"/>
      <c r="E595" s="510"/>
      <c r="F595" s="510"/>
      <c r="G595" s="510"/>
      <c r="H595" s="510"/>
      <c r="I595" s="510"/>
      <c r="J595" s="510"/>
    </row>
    <row r="596" spans="1:10">
      <c r="A596" s="484"/>
      <c r="B596" s="484"/>
    </row>
    <row r="597" spans="1:10">
      <c r="A597" s="484"/>
      <c r="B597" s="484"/>
    </row>
    <row r="598" spans="1:10">
      <c r="A598" s="484"/>
      <c r="B598" s="484"/>
    </row>
    <row r="599" spans="1:10">
      <c r="A599" s="484"/>
      <c r="B599" s="484"/>
    </row>
    <row r="600" spans="1:10" ht="25.5" customHeight="1">
      <c r="A600" s="484"/>
      <c r="B600" s="484"/>
    </row>
    <row r="601" spans="1:10">
      <c r="A601" s="484"/>
      <c r="B601" s="484"/>
    </row>
    <row r="602" spans="1:10">
      <c r="A602" s="484"/>
      <c r="B602" s="484"/>
    </row>
    <row r="603" spans="1:10">
      <c r="A603" s="484"/>
      <c r="B603" s="484"/>
    </row>
    <row r="604" spans="1:10">
      <c r="A604" s="484"/>
      <c r="B604" s="484"/>
    </row>
    <row r="605" spans="1:10">
      <c r="A605" s="484"/>
      <c r="B605" s="484"/>
    </row>
    <row r="606" spans="1:10">
      <c r="A606" s="484"/>
      <c r="B606" s="484"/>
    </row>
    <row r="607" spans="1:10">
      <c r="A607" s="484"/>
      <c r="B607" s="484"/>
    </row>
    <row r="608" spans="1:10">
      <c r="A608" s="484"/>
      <c r="B608" s="484"/>
    </row>
    <row r="609" spans="1:2">
      <c r="A609" s="484"/>
      <c r="B609" s="484"/>
    </row>
    <row r="610" spans="1:2">
      <c r="A610" s="484"/>
      <c r="B610" s="484"/>
    </row>
    <row r="611" spans="1:2">
      <c r="A611" s="484"/>
      <c r="B611" s="484"/>
    </row>
    <row r="612" spans="1:2">
      <c r="A612" s="484"/>
      <c r="B612" s="484"/>
    </row>
    <row r="613" spans="1:2">
      <c r="A613" s="484"/>
      <c r="B613" s="484"/>
    </row>
    <row r="614" spans="1:2">
      <c r="A614" s="484"/>
      <c r="B614" s="484"/>
    </row>
    <row r="615" spans="1:2">
      <c r="A615" s="484"/>
      <c r="B615" s="484"/>
    </row>
    <row r="616" spans="1:2">
      <c r="A616" s="484"/>
      <c r="B616" s="484"/>
    </row>
    <row r="617" spans="1:2">
      <c r="A617" s="484"/>
      <c r="B617" s="484"/>
    </row>
    <row r="618" spans="1:2">
      <c r="A618" s="484"/>
      <c r="B618" s="484"/>
    </row>
    <row r="619" spans="1:2">
      <c r="A619" s="484"/>
      <c r="B619" s="484"/>
    </row>
    <row r="620" spans="1:2">
      <c r="A620" s="484"/>
      <c r="B620" s="484"/>
    </row>
    <row r="621" spans="1:2">
      <c r="A621" s="484"/>
      <c r="B621" s="484"/>
    </row>
    <row r="622" spans="1:2">
      <c r="A622" s="484"/>
      <c r="B622" s="484"/>
    </row>
    <row r="623" spans="1:2">
      <c r="A623" s="484"/>
      <c r="B623" s="484"/>
    </row>
    <row r="624" spans="1:2">
      <c r="A624" s="484"/>
      <c r="B624" s="484"/>
    </row>
    <row r="625" spans="1:10">
      <c r="A625" s="484"/>
      <c r="B625" s="484"/>
    </row>
    <row r="626" spans="1:10">
      <c r="A626" s="484"/>
      <c r="B626" s="484"/>
    </row>
    <row r="627" spans="1:10">
      <c r="A627" s="484"/>
      <c r="B627" s="484"/>
    </row>
    <row r="628" spans="1:10">
      <c r="A628" s="484"/>
      <c r="B628" s="484"/>
    </row>
    <row r="629" spans="1:10">
      <c r="A629" s="484"/>
      <c r="B629" s="484"/>
    </row>
    <row r="630" spans="1:10">
      <c r="A630" s="484"/>
      <c r="B630" s="484"/>
    </row>
    <row r="631" spans="1:10">
      <c r="A631" s="484"/>
      <c r="B631" s="484"/>
    </row>
    <row r="632" spans="1:10">
      <c r="A632" s="484"/>
      <c r="B632" s="484"/>
    </row>
    <row r="633" spans="1:10">
      <c r="A633" s="484"/>
      <c r="B633" s="484"/>
    </row>
    <row r="634" spans="1:10">
      <c r="A634" s="484"/>
      <c r="B634" s="484"/>
    </row>
    <row r="635" spans="1:10">
      <c r="A635" s="484"/>
      <c r="B635" s="484"/>
    </row>
    <row r="636" spans="1:10">
      <c r="A636" s="510"/>
      <c r="B636" s="510"/>
      <c r="C636" s="510"/>
      <c r="D636" s="510"/>
      <c r="E636" s="510"/>
      <c r="F636" s="510"/>
      <c r="G636" s="510"/>
      <c r="H636" s="510"/>
      <c r="I636" s="510"/>
      <c r="J636" s="510"/>
    </row>
    <row r="637" spans="1:10">
      <c r="A637" s="484"/>
      <c r="B637" s="484"/>
    </row>
    <row r="638" spans="1:10">
      <c r="A638" s="484"/>
      <c r="B638" s="484"/>
    </row>
    <row r="639" spans="1:10" ht="12.75" customHeight="1">
      <c r="A639" s="484"/>
      <c r="B639" s="484"/>
    </row>
    <row r="640" spans="1:10" ht="25.5" customHeight="1">
      <c r="A640" s="484"/>
      <c r="B640" s="484"/>
    </row>
    <row r="641" spans="1:10" ht="12.75" customHeight="1">
      <c r="A641" s="484"/>
      <c r="B641" s="484"/>
    </row>
    <row r="642" spans="1:10">
      <c r="A642" s="484"/>
      <c r="B642" s="484"/>
    </row>
    <row r="643" spans="1:10">
      <c r="A643" s="484"/>
      <c r="B643" s="484"/>
    </row>
    <row r="644" spans="1:10">
      <c r="A644" s="484"/>
      <c r="B644" s="484"/>
    </row>
    <row r="645" spans="1:10">
      <c r="A645" s="484"/>
      <c r="B645" s="484"/>
    </row>
    <row r="646" spans="1:10">
      <c r="A646" s="484"/>
      <c r="B646" s="484"/>
    </row>
    <row r="647" spans="1:10" ht="25.5" customHeight="1">
      <c r="A647" s="484"/>
      <c r="B647" s="484"/>
    </row>
    <row r="648" spans="1:10">
      <c r="A648" s="510"/>
      <c r="B648" s="510"/>
      <c r="C648" s="510"/>
      <c r="D648" s="510"/>
      <c r="E648" s="510"/>
      <c r="F648" s="510"/>
      <c r="G648" s="510"/>
      <c r="H648" s="510"/>
      <c r="I648" s="510"/>
      <c r="J648" s="510"/>
    </row>
    <row r="649" spans="1:10">
      <c r="A649" s="484"/>
      <c r="B649" s="484"/>
    </row>
    <row r="650" spans="1:10">
      <c r="A650" s="484"/>
      <c r="B650" s="484"/>
    </row>
    <row r="651" spans="1:10">
      <c r="A651" s="484"/>
      <c r="B651" s="484"/>
    </row>
    <row r="652" spans="1:10">
      <c r="A652" s="484"/>
      <c r="B652" s="484"/>
    </row>
    <row r="653" spans="1:10">
      <c r="A653" s="484"/>
      <c r="B653" s="484"/>
    </row>
    <row r="654" spans="1:10">
      <c r="A654" s="484"/>
      <c r="B654" s="484"/>
    </row>
    <row r="655" spans="1:10">
      <c r="A655" s="484"/>
      <c r="B655" s="484"/>
    </row>
    <row r="656" spans="1:10">
      <c r="A656" s="484"/>
      <c r="B656" s="484"/>
    </row>
    <row r="657" spans="1:2">
      <c r="A657" s="484"/>
      <c r="B657" s="484"/>
    </row>
    <row r="658" spans="1:2">
      <c r="A658" s="484"/>
      <c r="B658" s="484"/>
    </row>
    <row r="659" spans="1:2">
      <c r="A659" s="484"/>
      <c r="B659" s="484"/>
    </row>
    <row r="660" spans="1:2">
      <c r="A660" s="484"/>
      <c r="B660" s="484"/>
    </row>
    <row r="661" spans="1:2">
      <c r="A661" s="484"/>
      <c r="B661" s="484"/>
    </row>
    <row r="662" spans="1:2">
      <c r="A662" s="484"/>
      <c r="B662" s="484"/>
    </row>
    <row r="663" spans="1:2">
      <c r="A663" s="484"/>
      <c r="B663" s="484"/>
    </row>
    <row r="664" spans="1:2">
      <c r="A664" s="484"/>
      <c r="B664" s="484"/>
    </row>
    <row r="665" spans="1:2">
      <c r="A665" s="484"/>
      <c r="B665" s="484"/>
    </row>
    <row r="666" spans="1:2">
      <c r="A666" s="484"/>
      <c r="B666" s="484"/>
    </row>
    <row r="667" spans="1:2">
      <c r="A667" s="484"/>
      <c r="B667" s="484"/>
    </row>
    <row r="668" spans="1:2">
      <c r="A668" s="484"/>
      <c r="B668" s="484"/>
    </row>
    <row r="669" spans="1:2">
      <c r="A669" s="484"/>
      <c r="B669" s="484"/>
    </row>
    <row r="670" spans="1:2">
      <c r="A670" s="484"/>
      <c r="B670" s="484"/>
    </row>
    <row r="671" spans="1:2">
      <c r="A671" s="484"/>
      <c r="B671" s="484"/>
    </row>
    <row r="672" spans="1:2">
      <c r="A672" s="484"/>
      <c r="B672" s="484"/>
    </row>
    <row r="673" spans="1:10">
      <c r="A673" s="510"/>
      <c r="B673" s="510"/>
      <c r="C673" s="510"/>
      <c r="D673" s="510"/>
      <c r="E673" s="510"/>
      <c r="F673" s="510"/>
      <c r="G673" s="510"/>
      <c r="H673" s="510"/>
      <c r="I673" s="510"/>
      <c r="J673" s="510"/>
    </row>
    <row r="674" spans="1:10">
      <c r="A674" s="484"/>
      <c r="B674" s="484"/>
    </row>
    <row r="675" spans="1:10">
      <c r="A675" s="484"/>
      <c r="B675" s="484"/>
    </row>
    <row r="676" spans="1:10">
      <c r="A676" s="484"/>
      <c r="B676" s="484"/>
    </row>
    <row r="677" spans="1:10">
      <c r="A677" s="510"/>
      <c r="B677" s="510"/>
      <c r="C677" s="510"/>
      <c r="D677" s="510"/>
      <c r="E677" s="510"/>
      <c r="F677" s="510"/>
      <c r="G677" s="510"/>
      <c r="H677" s="510"/>
      <c r="I677" s="510"/>
      <c r="J677" s="510"/>
    </row>
    <row r="678" spans="1:10">
      <c r="A678" s="484"/>
      <c r="B678" s="484"/>
    </row>
    <row r="679" spans="1:10">
      <c r="A679" s="484"/>
      <c r="B679" s="484"/>
    </row>
    <row r="680" spans="1:10">
      <c r="A680" s="484"/>
      <c r="B680" s="484"/>
    </row>
    <row r="681" spans="1:10">
      <c r="A681" s="484"/>
      <c r="B681" s="484"/>
    </row>
    <row r="682" spans="1:10">
      <c r="A682" s="484"/>
      <c r="B682" s="484"/>
    </row>
    <row r="683" spans="1:10">
      <c r="A683" s="484"/>
      <c r="B683" s="484"/>
    </row>
    <row r="684" spans="1:10">
      <c r="A684" s="484"/>
      <c r="B684" s="484"/>
    </row>
    <row r="685" spans="1:10">
      <c r="A685" s="484"/>
      <c r="B685" s="484"/>
    </row>
    <row r="686" spans="1:10">
      <c r="A686" s="484"/>
      <c r="B686" s="484"/>
    </row>
    <row r="687" spans="1:10">
      <c r="A687" s="484"/>
      <c r="B687" s="484"/>
    </row>
    <row r="688" spans="1:10">
      <c r="A688" s="484"/>
      <c r="B688" s="484"/>
    </row>
    <row r="689" spans="1:2">
      <c r="A689" s="484"/>
      <c r="B689" s="484"/>
    </row>
    <row r="690" spans="1:2">
      <c r="A690" s="484"/>
      <c r="B690" s="484"/>
    </row>
    <row r="691" spans="1:2">
      <c r="A691" s="484"/>
      <c r="B691" s="484"/>
    </row>
    <row r="692" spans="1:2">
      <c r="A692" s="484"/>
      <c r="B692" s="484"/>
    </row>
    <row r="693" spans="1:2">
      <c r="A693" s="484"/>
      <c r="B693" s="484"/>
    </row>
    <row r="694" spans="1:2">
      <c r="A694" s="484"/>
      <c r="B694" s="484"/>
    </row>
    <row r="695" spans="1:2">
      <c r="A695" s="484"/>
      <c r="B695" s="484"/>
    </row>
    <row r="696" spans="1:2">
      <c r="A696" s="484"/>
      <c r="B696" s="484"/>
    </row>
    <row r="697" spans="1:2">
      <c r="A697" s="484"/>
      <c r="B697" s="484"/>
    </row>
    <row r="698" spans="1:2">
      <c r="A698" s="484"/>
      <c r="B698" s="484"/>
    </row>
    <row r="699" spans="1:2">
      <c r="A699" s="484"/>
      <c r="B699" s="484"/>
    </row>
    <row r="700" spans="1:2">
      <c r="A700" s="484"/>
      <c r="B700" s="484"/>
    </row>
    <row r="701" spans="1:2">
      <c r="A701" s="484"/>
      <c r="B701" s="484"/>
    </row>
    <row r="702" spans="1:2">
      <c r="A702" s="484"/>
      <c r="B702" s="484"/>
    </row>
    <row r="703" spans="1:2">
      <c r="A703" s="484"/>
      <c r="B703" s="484"/>
    </row>
    <row r="704" spans="1:2">
      <c r="A704" s="484"/>
      <c r="B704" s="484"/>
    </row>
    <row r="705" spans="1:2">
      <c r="A705" s="484"/>
      <c r="B705" s="484"/>
    </row>
    <row r="706" spans="1:2">
      <c r="A706" s="484"/>
      <c r="B706" s="484"/>
    </row>
    <row r="707" spans="1:2">
      <c r="A707" s="484"/>
      <c r="B707" s="484"/>
    </row>
    <row r="708" spans="1:2">
      <c r="A708" s="484"/>
      <c r="B708" s="484"/>
    </row>
    <row r="709" spans="1:2">
      <c r="A709" s="484"/>
      <c r="B709" s="484"/>
    </row>
    <row r="710" spans="1:2">
      <c r="A710" s="484"/>
      <c r="B710" s="484"/>
    </row>
    <row r="711" spans="1:2">
      <c r="A711" s="484"/>
      <c r="B711" s="484"/>
    </row>
    <row r="712" spans="1:2">
      <c r="A712" s="484"/>
      <c r="B712" s="484"/>
    </row>
    <row r="713" spans="1:2">
      <c r="A713" s="484"/>
      <c r="B713" s="484"/>
    </row>
    <row r="714" spans="1:2">
      <c r="A714" s="484"/>
      <c r="B714" s="484"/>
    </row>
    <row r="715" spans="1:2">
      <c r="A715" s="484"/>
      <c r="B715" s="484"/>
    </row>
  </sheetData>
  <sheetProtection sheet="1" objects="1" scenarios="1"/>
  <mergeCells count="22">
    <mergeCell ref="A1:J1"/>
    <mergeCell ref="A52:J52"/>
    <mergeCell ref="A51:J51"/>
    <mergeCell ref="A102:J102"/>
    <mergeCell ref="A101:J101"/>
    <mergeCell ref="A2:J2"/>
    <mergeCell ref="A160:J160"/>
    <mergeCell ref="A294:J294"/>
    <mergeCell ref="A444:J444"/>
    <mergeCell ref="A443:J443"/>
    <mergeCell ref="A364:J364"/>
    <mergeCell ref="A254:J254"/>
    <mergeCell ref="A253:J253"/>
    <mergeCell ref="A216:J216"/>
    <mergeCell ref="A217:J217"/>
    <mergeCell ref="A161:J161"/>
    <mergeCell ref="A295:J295"/>
    <mergeCell ref="A521:J521"/>
    <mergeCell ref="A522:J522"/>
    <mergeCell ref="A363:J363"/>
    <mergeCell ref="A494:J494"/>
    <mergeCell ref="A493:J493"/>
  </mergeCells>
  <phoneticPr fontId="0" type="noConversion"/>
  <printOptions horizontalCentered="1"/>
  <pageMargins left="0.25" right="0.25" top="0.84" bottom="1" header="0.5" footer="0.49"/>
  <pageSetup scale="56" fitToHeight="0" orientation="landscape" r:id="rId1"/>
  <headerFooter alignWithMargins="0">
    <oddHeader>&amp;C&amp;"Times New Roman,Bold"&amp;16ATTACHMENT D Page &amp;P of &amp;N
EVERGY</oddHeader>
    <oddFooter>&amp;R&amp;1#&amp;"Calibri"&amp;10&amp;KA80000Internal Use Only</oddFooter>
  </headerFooter>
  <rowBreaks count="12" manualBreakCount="12">
    <brk id="50" max="9" man="1"/>
    <brk id="100" max="9" man="1"/>
    <brk id="159" max="9" man="1"/>
    <brk id="215" max="9" man="1"/>
    <brk id="252" max="9" man="1"/>
    <brk id="292" max="9" man="1"/>
    <brk id="362" max="9" man="1"/>
    <brk id="442" max="9" man="1"/>
    <brk id="492" max="9" man="1"/>
    <brk id="520" max="9" man="1"/>
    <brk id="622" max="16383" man="1"/>
    <brk id="66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M687"/>
  <sheetViews>
    <sheetView view="pageBreakPreview" zoomScaleNormal="75" zoomScaleSheetLayoutView="100" workbookViewId="0">
      <selection sqref="A1:J1"/>
    </sheetView>
  </sheetViews>
  <sheetFormatPr defaultColWidth="9.109375" defaultRowHeight="13.2"/>
  <cols>
    <col min="1" max="2" width="9.44140625" style="238" customWidth="1"/>
    <col min="3" max="3" width="46" style="237" customWidth="1"/>
    <col min="4" max="4" width="14.88671875" style="237" bestFit="1" customWidth="1"/>
    <col min="5" max="5" width="16.88671875" style="237" customWidth="1"/>
    <col min="6" max="9" width="15.109375" style="237" customWidth="1"/>
    <col min="10" max="10" width="50.5546875" style="237" customWidth="1"/>
    <col min="11" max="11" width="13.88671875" style="28" customWidth="1"/>
    <col min="12" max="12" width="11.5546875" style="28" bestFit="1" customWidth="1"/>
    <col min="13" max="13" width="11" style="28" bestFit="1" customWidth="1"/>
    <col min="14" max="14" width="10.88671875" style="28" customWidth="1"/>
    <col min="15" max="16384" width="9.109375" style="28"/>
  </cols>
  <sheetData>
    <row r="1" spans="1:10" ht="20.399999999999999">
      <c r="A1" s="1740" t="s">
        <v>2998</v>
      </c>
      <c r="B1" s="1740"/>
      <c r="C1" s="1741"/>
      <c r="D1" s="1741"/>
      <c r="E1" s="1741"/>
      <c r="F1" s="1741"/>
      <c r="G1" s="1741"/>
      <c r="H1" s="1741"/>
      <c r="I1" s="1741"/>
      <c r="J1" s="1741"/>
    </row>
    <row r="2" spans="1:10" ht="19.2">
      <c r="A2" s="1742" t="str">
        <f>'Item 2,  Demand Chg. Calc.'!A2:G2</f>
        <v>For Contract Year Beginning June 1, 2024, Based on 2023 Data</v>
      </c>
      <c r="B2" s="1742"/>
      <c r="C2" s="1743"/>
      <c r="D2" s="1743"/>
      <c r="E2" s="1743"/>
      <c r="F2" s="1743"/>
      <c r="G2" s="1743"/>
      <c r="H2" s="1743"/>
      <c r="I2" s="1743"/>
      <c r="J2" s="1743"/>
    </row>
    <row r="3" spans="1:10">
      <c r="A3" s="485"/>
      <c r="B3" s="485"/>
      <c r="C3" s="486"/>
      <c r="D3" s="486"/>
      <c r="E3" s="486"/>
      <c r="F3" s="486"/>
      <c r="G3" s="486"/>
      <c r="H3" s="487"/>
      <c r="I3" s="486"/>
      <c r="J3" s="486"/>
    </row>
    <row r="4" spans="1:10">
      <c r="A4" s="485"/>
      <c r="B4" s="485"/>
      <c r="C4" s="487"/>
      <c r="D4" s="763" t="s">
        <v>480</v>
      </c>
      <c r="E4" s="763" t="s">
        <v>481</v>
      </c>
      <c r="F4" s="763" t="s">
        <v>482</v>
      </c>
      <c r="G4" s="763" t="s">
        <v>483</v>
      </c>
      <c r="H4" s="763" t="s">
        <v>484</v>
      </c>
      <c r="I4" s="763" t="s">
        <v>884</v>
      </c>
      <c r="J4" s="763" t="s">
        <v>485</v>
      </c>
    </row>
    <row r="5" spans="1:10">
      <c r="A5" s="485"/>
      <c r="B5" s="485"/>
      <c r="C5" s="486"/>
      <c r="D5" s="764" t="s">
        <v>1545</v>
      </c>
      <c r="E5" s="765" t="s">
        <v>1578</v>
      </c>
      <c r="F5" s="766"/>
      <c r="G5" s="765">
        <v>1</v>
      </c>
      <c r="H5" s="765">
        <v>0.5</v>
      </c>
      <c r="I5" s="763" t="s">
        <v>468</v>
      </c>
      <c r="J5" s="764" t="s">
        <v>476</v>
      </c>
    </row>
    <row r="6" spans="1:10">
      <c r="A6" s="485"/>
      <c r="B6" s="485"/>
      <c r="C6" s="486"/>
      <c r="D6" s="764" t="s">
        <v>1568</v>
      </c>
      <c r="E6" s="763" t="s">
        <v>1583</v>
      </c>
      <c r="F6" s="763"/>
      <c r="G6" s="763" t="s">
        <v>116</v>
      </c>
      <c r="H6" s="763" t="s">
        <v>116</v>
      </c>
      <c r="I6" s="763" t="s">
        <v>1079</v>
      </c>
      <c r="J6" s="764" t="s">
        <v>15</v>
      </c>
    </row>
    <row r="7" spans="1:10">
      <c r="A7" s="485"/>
      <c r="B7" s="485"/>
      <c r="C7" s="486"/>
      <c r="D7" s="764" t="s">
        <v>1569</v>
      </c>
      <c r="E7" s="764" t="s">
        <v>221</v>
      </c>
      <c r="F7" s="763"/>
      <c r="G7" s="763" t="s">
        <v>1584</v>
      </c>
      <c r="H7" s="763" t="s">
        <v>1585</v>
      </c>
      <c r="I7" s="763" t="s">
        <v>299</v>
      </c>
      <c r="J7" s="764"/>
    </row>
    <row r="8" spans="1:10">
      <c r="A8" s="485"/>
      <c r="B8" s="485"/>
      <c r="C8" s="522"/>
      <c r="D8" s="763" t="s">
        <v>1949</v>
      </c>
      <c r="E8" s="496"/>
      <c r="F8" s="498"/>
      <c r="G8" s="484"/>
      <c r="H8" s="484"/>
      <c r="I8" s="486"/>
      <c r="J8" s="486"/>
    </row>
    <row r="9" spans="1:10">
      <c r="A9" s="485"/>
      <c r="B9" s="485"/>
      <c r="C9" s="522"/>
      <c r="D9" s="496"/>
      <c r="E9" s="497"/>
      <c r="F9" s="498"/>
      <c r="G9" s="767"/>
      <c r="H9" s="767"/>
      <c r="I9" s="486"/>
      <c r="J9" s="486"/>
    </row>
    <row r="10" spans="1:10">
      <c r="A10" s="499" t="s">
        <v>531</v>
      </c>
      <c r="B10" s="500" t="s">
        <v>1078</v>
      </c>
      <c r="C10" s="501" t="s">
        <v>1077</v>
      </c>
      <c r="D10" s="528"/>
      <c r="E10" s="528"/>
      <c r="F10" s="528"/>
      <c r="G10" s="528"/>
      <c r="H10" s="528"/>
      <c r="I10" s="508"/>
      <c r="J10" s="484"/>
    </row>
    <row r="11" spans="1:10">
      <c r="A11" s="618">
        <v>1</v>
      </c>
      <c r="B11" s="539" t="str">
        <f>'Wrksht. H, CWIP Desc. EKS'!B11</f>
        <v>1070002</v>
      </c>
      <c r="C11" s="540" t="str">
        <f>'Wrksht. H, CWIP Desc. EKS'!C11</f>
        <v>JEC0605973</v>
      </c>
      <c r="D11" s="541">
        <f>'Wrksht. I, CWIP AFUDC Cre. EKS'!I12</f>
        <v>0</v>
      </c>
      <c r="E11" s="542" t="str">
        <f>'Wrksht. H, CWIP Desc. EKS'!E11</f>
        <v>PC</v>
      </c>
      <c r="F11" s="541"/>
      <c r="G11" s="541">
        <f t="shared" ref="G11:G34" si="0">IF(H11=0,D11,0)</f>
        <v>0</v>
      </c>
      <c r="H11" s="541">
        <v>0</v>
      </c>
      <c r="I11" s="541"/>
      <c r="J11" s="555" t="str">
        <f>'Wrksht. H, CWIP Desc. EKS'!F11</f>
        <v>JEC2 SCRUBBERS, ENGINEER</v>
      </c>
    </row>
    <row r="12" spans="1:10">
      <c r="A12" s="618">
        <f>A11+1</f>
        <v>2</v>
      </c>
      <c r="B12" s="539" t="str">
        <f>'Wrksht. H, CWIP Desc. EKS'!B12</f>
        <v>1070002</v>
      </c>
      <c r="C12" s="540" t="str">
        <f>'Wrksht. H, CWIP Desc. EKS'!C12</f>
        <v>JEC0605975</v>
      </c>
      <c r="D12" s="541">
        <f>'Wrksht. I, CWIP AFUDC Cre. EKS'!I13</f>
        <v>0</v>
      </c>
      <c r="E12" s="542" t="str">
        <f>'Wrksht. H, CWIP Desc. EKS'!E12</f>
        <v>PC</v>
      </c>
      <c r="F12" s="541"/>
      <c r="G12" s="541">
        <f t="shared" si="0"/>
        <v>0</v>
      </c>
      <c r="H12" s="541">
        <v>0</v>
      </c>
      <c r="I12" s="541"/>
      <c r="J12" s="555" t="str">
        <f>'Wrksht. H, CWIP Desc. EKS'!F12</f>
        <v>JEC3 SCRUBBERS, ENGINEER</v>
      </c>
    </row>
    <row r="13" spans="1:10" ht="26.4">
      <c r="A13" s="618">
        <f t="shared" ref="A13:A56" si="1">A12+1</f>
        <v>3</v>
      </c>
      <c r="B13" s="539" t="str">
        <f>'Wrksht. H, CWIP Desc. EKS'!B13</f>
        <v>1070002</v>
      </c>
      <c r="C13" s="540" t="str">
        <f>'Wrksht. H, CWIP Desc. EKS'!C13</f>
        <v>JEC0605977</v>
      </c>
      <c r="D13" s="541">
        <f>'Wrksht. I, CWIP AFUDC Cre. EKS'!I14</f>
        <v>0</v>
      </c>
      <c r="E13" s="542" t="str">
        <f>'Wrksht. H, CWIP Desc. EKS'!E13</f>
        <v>PC</v>
      </c>
      <c r="F13" s="541"/>
      <c r="G13" s="541">
        <f t="shared" si="0"/>
        <v>0</v>
      </c>
      <c r="H13" s="541">
        <v>0</v>
      </c>
      <c r="I13" s="544"/>
      <c r="J13" s="545" t="str">
        <f>'Wrksht. H, CWIP Desc. EKS'!F13</f>
        <v>JEC COMMON - ENG SERV FOR DESIGN/UPGR FGD FACILITIES</v>
      </c>
    </row>
    <row r="14" spans="1:10">
      <c r="A14" s="618">
        <f t="shared" si="1"/>
        <v>4</v>
      </c>
      <c r="B14" s="539" t="str">
        <f>'Wrksht. H, CWIP Desc. EKS'!B14</f>
        <v>1070002</v>
      </c>
      <c r="C14" s="540" t="str">
        <f>'Wrksht. H, CWIP Desc. EKS'!C14</f>
        <v>JEC0610127</v>
      </c>
      <c r="D14" s="541">
        <f>'Wrksht. I, CWIP AFUDC Cre. EKS'!I15</f>
        <v>0</v>
      </c>
      <c r="E14" s="542" t="str">
        <f>'Wrksht. H, CWIP Desc. EKS'!E14</f>
        <v>PC</v>
      </c>
      <c r="F14" s="541"/>
      <c r="G14" s="541">
        <f t="shared" si="0"/>
        <v>0</v>
      </c>
      <c r="H14" s="541">
        <v>0</v>
      </c>
      <c r="I14" s="544"/>
      <c r="J14" s="545" t="str">
        <f>'Wrksht. H, CWIP Desc. EKS'!F14</f>
        <v>JEC2 SCRUBBERS, DESIGN AND</v>
      </c>
    </row>
    <row r="15" spans="1:10">
      <c r="A15" s="618">
        <f t="shared" si="1"/>
        <v>5</v>
      </c>
      <c r="B15" s="539" t="str">
        <f>'Wrksht. H, CWIP Desc. EKS'!B15</f>
        <v>1070002</v>
      </c>
      <c r="C15" s="540" t="str">
        <f>'Wrksht. H, CWIP Desc. EKS'!C15</f>
        <v>JEC0611677</v>
      </c>
      <c r="D15" s="541">
        <f>'Wrksht. I, CWIP AFUDC Cre. EKS'!I16</f>
        <v>0</v>
      </c>
      <c r="E15" s="542" t="str">
        <f>'Wrksht. H, CWIP Desc. EKS'!E15</f>
        <v>O</v>
      </c>
      <c r="F15" s="541"/>
      <c r="G15" s="541">
        <f t="shared" si="0"/>
        <v>0</v>
      </c>
      <c r="H15" s="541">
        <f t="shared" ref="H15:H25" si="2">D15*0.5</f>
        <v>0</v>
      </c>
      <c r="I15" s="544"/>
      <c r="J15" s="545" t="str">
        <f>'Wrksht. H, CWIP Desc. EKS'!F15</f>
        <v>J1 HOT REHEAT PIPING INSPECTION</v>
      </c>
    </row>
    <row r="16" spans="1:10">
      <c r="A16" s="618">
        <f t="shared" si="1"/>
        <v>6</v>
      </c>
      <c r="B16" s="539" t="str">
        <f>'Wrksht. H, CWIP Desc. EKS'!B16</f>
        <v>1070002</v>
      </c>
      <c r="C16" s="540" t="str">
        <f>'Wrksht. H, CWIP Desc. EKS'!C16</f>
        <v>JEC0700624</v>
      </c>
      <c r="D16" s="541">
        <f>'Wrksht. I, CWIP AFUDC Cre. EKS'!I17</f>
        <v>0</v>
      </c>
      <c r="E16" s="542" t="str">
        <f>'Wrksht. H, CWIP Desc. EKS'!E16</f>
        <v>PC</v>
      </c>
      <c r="F16" s="541"/>
      <c r="G16" s="541">
        <f t="shared" si="0"/>
        <v>0</v>
      </c>
      <c r="H16" s="541">
        <v>0</v>
      </c>
      <c r="I16" s="544"/>
      <c r="J16" s="545" t="str">
        <f>'Wrksht. H, CWIP Desc. EKS'!F16</f>
        <v>J2 FLY ASH SYSTEM REPLACEMENT</v>
      </c>
    </row>
    <row r="17" spans="1:10">
      <c r="A17" s="619">
        <f t="shared" si="1"/>
        <v>7</v>
      </c>
      <c r="B17" s="539" t="str">
        <f>'Wrksht. H, CWIP Desc. EKS'!B17</f>
        <v>1070002</v>
      </c>
      <c r="C17" s="540" t="str">
        <f>'Wrksht. H, CWIP Desc. EKS'!C17</f>
        <v>JEC0701131</v>
      </c>
      <c r="D17" s="541">
        <f>'Wrksht. I, CWIP AFUDC Cre. EKS'!I18</f>
        <v>0</v>
      </c>
      <c r="E17" s="542" t="str">
        <f>'Wrksht. H, CWIP Desc. EKS'!E17</f>
        <v>PC</v>
      </c>
      <c r="F17" s="541"/>
      <c r="G17" s="541">
        <f t="shared" si="0"/>
        <v>0</v>
      </c>
      <c r="H17" s="541">
        <v>0</v>
      </c>
      <c r="I17" s="544"/>
      <c r="J17" s="545" t="str">
        <f>'Wrksht. H, CWIP Desc. EKS'!F17</f>
        <v>JEC1 ELECTROSTATIC PRECIPITATOR REBUILD PH 1</v>
      </c>
    </row>
    <row r="18" spans="1:10">
      <c r="A18" s="618">
        <f t="shared" si="1"/>
        <v>8</v>
      </c>
      <c r="B18" s="539" t="str">
        <f>'Wrksht. H, CWIP Desc. EKS'!B18</f>
        <v>1070002</v>
      </c>
      <c r="C18" s="540" t="str">
        <f>'Wrksht. H, CWIP Desc. EKS'!C18</f>
        <v>JEC0701132</v>
      </c>
      <c r="D18" s="541">
        <f>'Wrksht. I, CWIP AFUDC Cre. EKS'!I19</f>
        <v>0</v>
      </c>
      <c r="E18" s="542" t="str">
        <f>'Wrksht. H, CWIP Desc. EKS'!E18</f>
        <v>PC</v>
      </c>
      <c r="F18" s="541"/>
      <c r="G18" s="541">
        <f t="shared" si="0"/>
        <v>0</v>
      </c>
      <c r="H18" s="541">
        <v>0</v>
      </c>
      <c r="I18" s="544"/>
      <c r="J18" s="545" t="str">
        <f>'Wrksht. H, CWIP Desc. EKS'!F18</f>
        <v>JEC2 ELECTROSTATIC PRECIPITATOR REBUILD PH 1</v>
      </c>
    </row>
    <row r="19" spans="1:10">
      <c r="A19" s="618">
        <f t="shared" si="1"/>
        <v>9</v>
      </c>
      <c r="B19" s="539" t="str">
        <f>'Wrksht. H, CWIP Desc. EKS'!B19</f>
        <v>1070002</v>
      </c>
      <c r="C19" s="540" t="str">
        <f>'Wrksht. H, CWIP Desc. EKS'!C19</f>
        <v>JEC0704255</v>
      </c>
      <c r="D19" s="541">
        <f>'Wrksht. I, CWIP AFUDC Cre. EKS'!I20</f>
        <v>0</v>
      </c>
      <c r="E19" s="542" t="str">
        <f>'Wrksht. H, CWIP Desc. EKS'!E19</f>
        <v>O</v>
      </c>
      <c r="F19" s="541"/>
      <c r="G19" s="541">
        <f t="shared" si="0"/>
        <v>0</v>
      </c>
      <c r="H19" s="541">
        <f t="shared" si="2"/>
        <v>0</v>
      </c>
      <c r="I19" s="544"/>
      <c r="J19" s="545" t="str">
        <f>'Wrksht. H, CWIP Desc. EKS'!F19</f>
        <v>JEC3 CIRC WATER PIPE</v>
      </c>
    </row>
    <row r="20" spans="1:10">
      <c r="A20" s="618">
        <f t="shared" si="1"/>
        <v>10</v>
      </c>
      <c r="B20" s="539" t="str">
        <f>'Wrksht. H, CWIP Desc. EKS'!B20</f>
        <v>1070002</v>
      </c>
      <c r="C20" s="540" t="str">
        <f>'Wrksht. H, CWIP Desc. EKS'!C20</f>
        <v>JEC0704873</v>
      </c>
      <c r="D20" s="541">
        <f>'Wrksht. I, CWIP AFUDC Cre. EKS'!I21</f>
        <v>0</v>
      </c>
      <c r="E20" s="542" t="str">
        <f>'Wrksht. H, CWIP Desc. EKS'!E20</f>
        <v>O</v>
      </c>
      <c r="F20" s="541"/>
      <c r="G20" s="541">
        <f t="shared" si="0"/>
        <v>0</v>
      </c>
      <c r="H20" s="541">
        <f t="shared" si="2"/>
        <v>0</v>
      </c>
      <c r="I20" s="544"/>
      <c r="J20" s="545" t="str">
        <f>'Wrksht. H, CWIP Desc. EKS'!F20</f>
        <v>J3 COAL SILO 301 BEAM SLOPING</v>
      </c>
    </row>
    <row r="21" spans="1:10">
      <c r="A21" s="618">
        <f t="shared" si="1"/>
        <v>11</v>
      </c>
      <c r="B21" s="539" t="str">
        <f>'Wrksht. H, CWIP Desc. EKS'!B21</f>
        <v>1070002</v>
      </c>
      <c r="C21" s="540" t="str">
        <f>'Wrksht. H, CWIP Desc. EKS'!C21</f>
        <v>JEC0706539</v>
      </c>
      <c r="D21" s="541">
        <f>'Wrksht. I, CWIP AFUDC Cre. EKS'!I22</f>
        <v>0</v>
      </c>
      <c r="E21" s="542" t="str">
        <f>'Wrksht. H, CWIP Desc. EKS'!E21</f>
        <v>O</v>
      </c>
      <c r="F21" s="541"/>
      <c r="G21" s="541">
        <f t="shared" si="0"/>
        <v>0</v>
      </c>
      <c r="H21" s="541">
        <f t="shared" si="2"/>
        <v>0</v>
      </c>
      <c r="I21" s="544"/>
      <c r="J21" s="545" t="str">
        <f>'Wrksht. H, CWIP Desc. EKS'!F21</f>
        <v>JCOM TRANSFER HOPPER 2 BEAM SLOPING</v>
      </c>
    </row>
    <row r="22" spans="1:10">
      <c r="A22" s="618">
        <f t="shared" si="1"/>
        <v>12</v>
      </c>
      <c r="B22" s="539" t="str">
        <f>'Wrksht. H, CWIP Desc. EKS'!B22</f>
        <v>1070002</v>
      </c>
      <c r="C22" s="540" t="str">
        <f>'Wrksht. H, CWIP Desc. EKS'!C22</f>
        <v>JEC0706838</v>
      </c>
      <c r="D22" s="541">
        <f>'Wrksht. I, CWIP AFUDC Cre. EKS'!I23</f>
        <v>0</v>
      </c>
      <c r="E22" s="542" t="str">
        <f>'Wrksht. H, CWIP Desc. EKS'!E22</f>
        <v>O</v>
      </c>
      <c r="F22" s="541"/>
      <c r="G22" s="541">
        <f t="shared" si="0"/>
        <v>0</v>
      </c>
      <c r="H22" s="541">
        <f t="shared" si="2"/>
        <v>0</v>
      </c>
      <c r="I22" s="544"/>
      <c r="J22" s="545" t="str">
        <f>'Wrksht. H, CWIP Desc. EKS'!F22</f>
        <v>JCOM REBUILD #22 DEEPWELL</v>
      </c>
    </row>
    <row r="23" spans="1:10">
      <c r="A23" s="618">
        <f t="shared" si="1"/>
        <v>13</v>
      </c>
      <c r="B23" s="539" t="str">
        <f>'Wrksht. H, CWIP Desc. EKS'!B23</f>
        <v>1070002</v>
      </c>
      <c r="C23" s="540" t="str">
        <f>'Wrksht. H, CWIP Desc. EKS'!C23</f>
        <v>JEC0707476</v>
      </c>
      <c r="D23" s="541">
        <f>'Wrksht. I, CWIP AFUDC Cre. EKS'!I24</f>
        <v>0</v>
      </c>
      <c r="E23" s="542" t="str">
        <f>'Wrksht. H, CWIP Desc. EKS'!E23</f>
        <v>O</v>
      </c>
      <c r="F23" s="541"/>
      <c r="G23" s="541">
        <f t="shared" si="0"/>
        <v>0</v>
      </c>
      <c r="H23" s="541">
        <f t="shared" si="2"/>
        <v>0</v>
      </c>
      <c r="I23" s="544"/>
      <c r="J23" s="545" t="str">
        <f>'Wrksht. H, CWIP Desc. EKS'!F23</f>
        <v>JCOM SIMULATOR HYBRID CONVERSION</v>
      </c>
    </row>
    <row r="24" spans="1:10">
      <c r="A24" s="618">
        <f t="shared" si="1"/>
        <v>14</v>
      </c>
      <c r="B24" s="539" t="str">
        <f>'Wrksht. H, CWIP Desc. EKS'!B24</f>
        <v>1070002</v>
      </c>
      <c r="C24" s="540" t="str">
        <f>'Wrksht. H, CWIP Desc. EKS'!C24</f>
        <v>JEC0709637</v>
      </c>
      <c r="D24" s="541">
        <f>'Wrksht. I, CWIP AFUDC Cre. EKS'!I25</f>
        <v>0</v>
      </c>
      <c r="E24" s="542" t="str">
        <f>'Wrksht. H, CWIP Desc. EKS'!E24</f>
        <v>PC</v>
      </c>
      <c r="F24" s="541"/>
      <c r="G24" s="541">
        <f t="shared" si="0"/>
        <v>0</v>
      </c>
      <c r="H24" s="541">
        <v>0</v>
      </c>
      <c r="I24" s="544"/>
      <c r="J24" s="545" t="str">
        <f>'Wrksht. H, CWIP Desc. EKS'!F24</f>
        <v>JEC1 LOW NOX &amp; SOFA UPGRADE PHASE 1</v>
      </c>
    </row>
    <row r="25" spans="1:10">
      <c r="A25" s="618">
        <f t="shared" si="1"/>
        <v>15</v>
      </c>
      <c r="B25" s="539" t="str">
        <f>'Wrksht. H, CWIP Desc. EKS'!B25</f>
        <v>1070002</v>
      </c>
      <c r="C25" s="540" t="str">
        <f>'Wrksht. H, CWIP Desc. EKS'!C25</f>
        <v>JEC0713055</v>
      </c>
      <c r="D25" s="541">
        <f>'Wrksht. I, CWIP AFUDC Cre. EKS'!I26</f>
        <v>0</v>
      </c>
      <c r="E25" s="542" t="str">
        <f>'Wrksht. H, CWIP Desc. EKS'!E25</f>
        <v>O</v>
      </c>
      <c r="F25" s="541"/>
      <c r="G25" s="541">
        <f t="shared" si="0"/>
        <v>0</v>
      </c>
      <c r="H25" s="541">
        <f t="shared" si="2"/>
        <v>0</v>
      </c>
      <c r="I25" s="544"/>
      <c r="J25" s="545" t="str">
        <f>'Wrksht. H, CWIP Desc. EKS'!F25</f>
        <v>J2 BOILER CIRCULATING PUMP FILTERS</v>
      </c>
    </row>
    <row r="26" spans="1:10">
      <c r="A26" s="618">
        <f t="shared" si="1"/>
        <v>16</v>
      </c>
      <c r="B26" s="539" t="str">
        <f>'Wrksht. H, CWIP Desc. EKS'!B26</f>
        <v>1070002</v>
      </c>
      <c r="C26" s="540" t="str">
        <f>'Wrksht. H, CWIP Desc. EKS'!C26</f>
        <v>JEC0713521</v>
      </c>
      <c r="D26" s="541">
        <f>'Wrksht. I, CWIP AFUDC Cre. EKS'!I27</f>
        <v>0</v>
      </c>
      <c r="E26" s="542" t="str">
        <f>'Wrksht. H, CWIP Desc. EKS'!E26</f>
        <v>O</v>
      </c>
      <c r="F26" s="541"/>
      <c r="G26" s="541">
        <f t="shared" si="0"/>
        <v>0</v>
      </c>
      <c r="H26" s="541">
        <f>D26*0.5</f>
        <v>0</v>
      </c>
      <c r="I26" s="544"/>
      <c r="J26" s="545" t="str">
        <f>'Wrksht. H, CWIP Desc. EKS'!F26</f>
        <v>J3 BOILER  CIRCULATING PUMPS</v>
      </c>
    </row>
    <row r="27" spans="1:10">
      <c r="A27" s="618">
        <f t="shared" si="1"/>
        <v>17</v>
      </c>
      <c r="B27" s="539" t="str">
        <f>'Wrksht. H, CWIP Desc. EKS'!B27</f>
        <v>1070002</v>
      </c>
      <c r="C27" s="540" t="str">
        <f>'Wrksht. H, CWIP Desc. EKS'!C27</f>
        <v>JEC0713578</v>
      </c>
      <c r="D27" s="541">
        <f>'Wrksht. I, CWIP AFUDC Cre. EKS'!I28</f>
        <v>0</v>
      </c>
      <c r="E27" s="542" t="str">
        <f>'Wrksht. H, CWIP Desc. EKS'!E27</f>
        <v>O</v>
      </c>
      <c r="F27" s="541"/>
      <c r="G27" s="541">
        <f t="shared" si="0"/>
        <v>0</v>
      </c>
      <c r="H27" s="541">
        <f>D27*0.5</f>
        <v>0</v>
      </c>
      <c r="I27" s="544"/>
      <c r="J27" s="545" t="str">
        <f>'Wrksht. H, CWIP Desc. EKS'!F27</f>
        <v>J2 HRH ACOUSTIC INSPECTION SYSTEM</v>
      </c>
    </row>
    <row r="28" spans="1:10">
      <c r="A28" s="618">
        <f t="shared" si="1"/>
        <v>18</v>
      </c>
      <c r="B28" s="539" t="str">
        <f>'Wrksht. H, CWIP Desc. EKS'!B28</f>
        <v>1070002</v>
      </c>
      <c r="C28" s="540" t="str">
        <f>'Wrksht. H, CWIP Desc. EKS'!C28</f>
        <v>JEC0719212</v>
      </c>
      <c r="D28" s="541">
        <f>'Wrksht. I, CWIP AFUDC Cre. EKS'!I29</f>
        <v>0</v>
      </c>
      <c r="E28" s="542" t="str">
        <f>'Wrksht. H, CWIP Desc. EKS'!E28</f>
        <v>O</v>
      </c>
      <c r="F28" s="541"/>
      <c r="G28" s="541">
        <f t="shared" si="0"/>
        <v>0</v>
      </c>
      <c r="H28" s="541">
        <f t="shared" ref="H28:H34" si="3">D28*0.5</f>
        <v>0</v>
      </c>
      <c r="I28" s="544"/>
      <c r="J28" s="545" t="str">
        <f>'Wrksht. H, CWIP Desc. EKS'!F28</f>
        <v>J3 INTELLIGENT SOOTBLOWERS UPGRADE</v>
      </c>
    </row>
    <row r="29" spans="1:10">
      <c r="A29" s="618">
        <f t="shared" si="1"/>
        <v>19</v>
      </c>
      <c r="B29" s="539" t="str">
        <f>'Wrksht. H, CWIP Desc. EKS'!B29</f>
        <v>1070002</v>
      </c>
      <c r="C29" s="540" t="str">
        <f>'Wrksht. H, CWIP Desc. EKS'!C29</f>
        <v>JEC0719280</v>
      </c>
      <c r="D29" s="541">
        <f>'Wrksht. I, CWIP AFUDC Cre. EKS'!I30</f>
        <v>0</v>
      </c>
      <c r="E29" s="542" t="str">
        <f>'Wrksht. H, CWIP Desc. EKS'!E29</f>
        <v>O</v>
      </c>
      <c r="F29" s="541"/>
      <c r="G29" s="541">
        <f t="shared" si="0"/>
        <v>0</v>
      </c>
      <c r="H29" s="541">
        <f t="shared" si="3"/>
        <v>0</v>
      </c>
      <c r="I29" s="544"/>
      <c r="J29" s="545" t="str">
        <f>'Wrksht. H, CWIP Desc. EKS'!F29</f>
        <v>J1 REPLACE INVERTER POWER SUPPLIES</v>
      </c>
    </row>
    <row r="30" spans="1:10">
      <c r="A30" s="618">
        <f t="shared" si="1"/>
        <v>20</v>
      </c>
      <c r="B30" s="539" t="str">
        <f>'Wrksht. H, CWIP Desc. EKS'!B30</f>
        <v>1070002</v>
      </c>
      <c r="C30" s="540" t="str">
        <f>'Wrksht. H, CWIP Desc. EKS'!C30</f>
        <v>JEC0720833</v>
      </c>
      <c r="D30" s="541">
        <f>'Wrksht. I, CWIP AFUDC Cre. EKS'!I31</f>
        <v>0</v>
      </c>
      <c r="E30" s="542" t="str">
        <f>'Wrksht. H, CWIP Desc. EKS'!E30</f>
        <v>O</v>
      </c>
      <c r="F30" s="541"/>
      <c r="G30" s="541">
        <f t="shared" si="0"/>
        <v>0</v>
      </c>
      <c r="H30" s="541">
        <f t="shared" si="3"/>
        <v>0</v>
      </c>
      <c r="I30" s="544"/>
      <c r="J30" s="545" t="str">
        <f>'Wrksht. H, CWIP Desc. EKS'!F30</f>
        <v>J3 UPGRADE 6.9 KV SWITCHGEAR TO DCS</v>
      </c>
    </row>
    <row r="31" spans="1:10">
      <c r="A31" s="618">
        <f t="shared" si="1"/>
        <v>21</v>
      </c>
      <c r="B31" s="539" t="str">
        <f>'Wrksht. H, CWIP Desc. EKS'!B31</f>
        <v>1070002</v>
      </c>
      <c r="C31" s="540" t="str">
        <f>'Wrksht. H, CWIP Desc. EKS'!C31</f>
        <v>JEC0800819</v>
      </c>
      <c r="D31" s="541">
        <f>'Wrksht. I, CWIP AFUDC Cre. EKS'!I32</f>
        <v>0</v>
      </c>
      <c r="E31" s="542" t="str">
        <f>'Wrksht. H, CWIP Desc. EKS'!E31</f>
        <v>O</v>
      </c>
      <c r="F31" s="541"/>
      <c r="G31" s="541">
        <f t="shared" si="0"/>
        <v>0</v>
      </c>
      <c r="H31" s="541">
        <f t="shared" si="3"/>
        <v>0</v>
      </c>
      <c r="I31" s="544"/>
      <c r="J31" s="545" t="str">
        <f>'Wrksht. H, CWIP Desc. EKS'!F31</f>
        <v>JCOM MAGNETIC SEPARATORS</v>
      </c>
    </row>
    <row r="32" spans="1:10">
      <c r="A32" s="618">
        <f t="shared" si="1"/>
        <v>22</v>
      </c>
      <c r="B32" s="539" t="str">
        <f>'Wrksht. H, CWIP Desc. EKS'!B32</f>
        <v>1070002</v>
      </c>
      <c r="C32" s="540" t="str">
        <f>'Wrksht. H, CWIP Desc. EKS'!C32</f>
        <v>JEC0800940</v>
      </c>
      <c r="D32" s="541">
        <f>'Wrksht. I, CWIP AFUDC Cre. EKS'!I33</f>
        <v>0</v>
      </c>
      <c r="E32" s="542" t="str">
        <f>'Wrksht. H, CWIP Desc. EKS'!E32</f>
        <v>O</v>
      </c>
      <c r="F32" s="541"/>
      <c r="G32" s="541">
        <f t="shared" si="0"/>
        <v>0</v>
      </c>
      <c r="H32" s="541">
        <f t="shared" si="3"/>
        <v>0</v>
      </c>
      <c r="I32" s="544"/>
      <c r="J32" s="545" t="str">
        <f>'Wrksht. H, CWIP Desc. EKS'!F32</f>
        <v>JCOM COAL FIRE PROTECTION</v>
      </c>
    </row>
    <row r="33" spans="1:10">
      <c r="A33" s="618">
        <f t="shared" si="1"/>
        <v>23</v>
      </c>
      <c r="B33" s="539" t="str">
        <f>'Wrksht. H, CWIP Desc. EKS'!B33</f>
        <v>1070002</v>
      </c>
      <c r="C33" s="540" t="str">
        <f>'Wrksht. H, CWIP Desc. EKS'!C33</f>
        <v>JEC0801636</v>
      </c>
      <c r="D33" s="541">
        <f>'Wrksht. I, CWIP AFUDC Cre. EKS'!I34</f>
        <v>0</v>
      </c>
      <c r="E33" s="542" t="str">
        <f>'Wrksht. H, CWIP Desc. EKS'!E33</f>
        <v>PC</v>
      </c>
      <c r="F33" s="541"/>
      <c r="G33" s="541">
        <f t="shared" si="0"/>
        <v>0</v>
      </c>
      <c r="H33" s="541">
        <v>0</v>
      </c>
      <c r="I33" s="544"/>
      <c r="J33" s="545" t="str">
        <f>'Wrksht. H, CWIP Desc. EKS'!F33</f>
        <v>J3 FLY ASH SYSTEM REPLACEMENT</v>
      </c>
    </row>
    <row r="34" spans="1:10">
      <c r="A34" s="618">
        <f t="shared" si="1"/>
        <v>24</v>
      </c>
      <c r="B34" s="539" t="str">
        <f>'Wrksht. H, CWIP Desc. EKS'!B34</f>
        <v>1070002</v>
      </c>
      <c r="C34" s="540" t="str">
        <f>'Wrksht. H, CWIP Desc. EKS'!C34</f>
        <v>JEC0802554</v>
      </c>
      <c r="D34" s="541">
        <f>'Wrksht. I, CWIP AFUDC Cre. EKS'!I35</f>
        <v>0</v>
      </c>
      <c r="E34" s="542" t="str">
        <f>'Wrksht. H, CWIP Desc. EKS'!E34</f>
        <v>O</v>
      </c>
      <c r="F34" s="541"/>
      <c r="G34" s="541">
        <f t="shared" si="0"/>
        <v>0</v>
      </c>
      <c r="H34" s="541">
        <f t="shared" si="3"/>
        <v>0</v>
      </c>
      <c r="I34" s="544"/>
      <c r="J34" s="545" t="str">
        <f>'Wrksht. H, CWIP Desc. EKS'!F34</f>
        <v>JCOM 6.9 KV BREAKER REMOTE RACKING JEC #1</v>
      </c>
    </row>
    <row r="35" spans="1:10">
      <c r="A35" s="618">
        <f>A34+1</f>
        <v>25</v>
      </c>
      <c r="B35" s="539" t="str">
        <f>'Wrksht. H, CWIP Desc. EKS'!B35</f>
        <v>1070002</v>
      </c>
      <c r="C35" s="540" t="str">
        <f>'Wrksht. H, CWIP Desc. EKS'!C35</f>
        <v>JEC0802555</v>
      </c>
      <c r="D35" s="541">
        <f>'Wrksht. I, CWIP AFUDC Cre. EKS'!I36</f>
        <v>0</v>
      </c>
      <c r="E35" s="542" t="str">
        <f>'Wrksht. H, CWIP Desc. EKS'!E35</f>
        <v>O</v>
      </c>
      <c r="F35" s="541"/>
      <c r="G35" s="541">
        <f t="shared" ref="G35:G56" si="4">IF(H35=0,D35,0)</f>
        <v>0</v>
      </c>
      <c r="H35" s="541">
        <f>D35*0.5</f>
        <v>0</v>
      </c>
      <c r="I35" s="544"/>
      <c r="J35" s="545" t="str">
        <f>'Wrksht. H, CWIP Desc. EKS'!F35</f>
        <v>JCOM 6.9 KV BREAKER REMOTE RACKING JEC #3</v>
      </c>
    </row>
    <row r="36" spans="1:10">
      <c r="A36" s="619">
        <f t="shared" si="1"/>
        <v>26</v>
      </c>
      <c r="B36" s="539" t="str">
        <f>'Wrksht. H, CWIP Desc. EKS'!B36</f>
        <v>1070002</v>
      </c>
      <c r="C36" s="540" t="str">
        <f>'Wrksht. H, CWIP Desc. EKS'!C36</f>
        <v>JEC0802916</v>
      </c>
      <c r="D36" s="541">
        <f>'Wrksht. I, CWIP AFUDC Cre. EKS'!I37</f>
        <v>0</v>
      </c>
      <c r="E36" s="542" t="str">
        <f>'Wrksht. H, CWIP Desc. EKS'!E36</f>
        <v>PC</v>
      </c>
      <c r="F36" s="541"/>
      <c r="G36" s="541">
        <f t="shared" si="4"/>
        <v>0</v>
      </c>
      <c r="H36" s="541">
        <v>0</v>
      </c>
      <c r="I36" s="544"/>
      <c r="J36" s="545" t="str">
        <f>'Wrksht. H, CWIP Desc. EKS'!F36</f>
        <v>J2 ESP REBUILD PHASE 1</v>
      </c>
    </row>
    <row r="37" spans="1:10">
      <c r="A37" s="618">
        <f t="shared" si="1"/>
        <v>27</v>
      </c>
      <c r="B37" s="539" t="str">
        <f>'Wrksht. H, CWIP Desc. EKS'!B37</f>
        <v>1070002</v>
      </c>
      <c r="C37" s="540" t="str">
        <f>'Wrksht. H, CWIP Desc. EKS'!C37</f>
        <v>JEC0806089</v>
      </c>
      <c r="D37" s="541">
        <f>'Wrksht. I, CWIP AFUDC Cre. EKS'!I38</f>
        <v>0</v>
      </c>
      <c r="E37" s="542" t="str">
        <f>'Wrksht. H, CWIP Desc. EKS'!E37</f>
        <v>PC</v>
      </c>
      <c r="F37" s="541"/>
      <c r="G37" s="541">
        <f t="shared" si="4"/>
        <v>0</v>
      </c>
      <c r="H37" s="541">
        <v>0</v>
      </c>
      <c r="I37" s="544"/>
      <c r="J37" s="545" t="str">
        <f>'Wrksht. H, CWIP Desc. EKS'!F37</f>
        <v>J2 LOW NOX &amp; SOFA UPGRD PH1</v>
      </c>
    </row>
    <row r="38" spans="1:10" ht="26.4">
      <c r="A38" s="618">
        <f t="shared" si="1"/>
        <v>28</v>
      </c>
      <c r="B38" s="539" t="str">
        <f>'Wrksht. H, CWIP Desc. EKS'!B38</f>
        <v>1070002</v>
      </c>
      <c r="C38" s="540" t="str">
        <f>'Wrksht. H, CWIP Desc. EKS'!C38</f>
        <v>JEC0806112</v>
      </c>
      <c r="D38" s="541">
        <f>'Wrksht. I, CWIP AFUDC Cre. EKS'!I39</f>
        <v>0</v>
      </c>
      <c r="E38" s="542" t="str">
        <f>'Wrksht. H, CWIP Desc. EKS'!E38</f>
        <v>O</v>
      </c>
      <c r="F38" s="541"/>
      <c r="G38" s="541">
        <f t="shared" si="4"/>
        <v>0</v>
      </c>
      <c r="H38" s="541">
        <f>D38*0.5</f>
        <v>0</v>
      </c>
      <c r="I38" s="544"/>
      <c r="J38" s="545" t="str">
        <f>'Wrksht. H, CWIP Desc. EKS'!F38</f>
        <v>J2 COOLING TOWER SUS BUILDING AND SWITCHGEAR REPLACEMENT</v>
      </c>
    </row>
    <row r="39" spans="1:10">
      <c r="A39" s="618">
        <f t="shared" si="1"/>
        <v>29</v>
      </c>
      <c r="B39" s="539" t="str">
        <f>'Wrksht. H, CWIP Desc. EKS'!B39</f>
        <v>1070002</v>
      </c>
      <c r="C39" s="540" t="str">
        <f>'Wrksht. H, CWIP Desc. EKS'!C39</f>
        <v>JEC0806127</v>
      </c>
      <c r="D39" s="541">
        <f>'Wrksht. I, CWIP AFUDC Cre. EKS'!I40</f>
        <v>0</v>
      </c>
      <c r="E39" s="542" t="str">
        <f>'Wrksht. H, CWIP Desc. EKS'!E39</f>
        <v>O</v>
      </c>
      <c r="F39" s="541"/>
      <c r="G39" s="541">
        <f t="shared" si="4"/>
        <v>0</v>
      </c>
      <c r="H39" s="541">
        <f>D39*0.5</f>
        <v>0</v>
      </c>
      <c r="I39" s="544"/>
      <c r="J39" s="545" t="str">
        <f>'Wrksht. H, CWIP Desc. EKS'!F39</f>
        <v>UNIT 3 - REPLACE THRISTOR VOLTAGE REGULATOR</v>
      </c>
    </row>
    <row r="40" spans="1:10">
      <c r="A40" s="618">
        <f t="shared" si="1"/>
        <v>30</v>
      </c>
      <c r="B40" s="539" t="str">
        <f>'Wrksht. H, CWIP Desc. EKS'!B40</f>
        <v>1070002</v>
      </c>
      <c r="C40" s="540" t="str">
        <f>'Wrksht. H, CWIP Desc. EKS'!C40</f>
        <v>JEC0806734</v>
      </c>
      <c r="D40" s="541">
        <f>'Wrksht. I, CWIP AFUDC Cre. EKS'!I41</f>
        <v>0</v>
      </c>
      <c r="E40" s="542" t="str">
        <f>'Wrksht. H, CWIP Desc. EKS'!E40</f>
        <v>O</v>
      </c>
      <c r="F40" s="541"/>
      <c r="G40" s="541">
        <f t="shared" si="4"/>
        <v>0</v>
      </c>
      <c r="H40" s="541">
        <f t="shared" ref="H40:H99" si="5">D40*0.5</f>
        <v>0</v>
      </c>
      <c r="I40" s="544"/>
      <c r="J40" s="545" t="str">
        <f>'Wrksht. H, CWIP Desc. EKS'!F40</f>
        <v>J3 RADIAL SEAL AND T-BAR REPLACEMENT</v>
      </c>
    </row>
    <row r="41" spans="1:10">
      <c r="A41" s="618">
        <f t="shared" si="1"/>
        <v>31</v>
      </c>
      <c r="B41" s="539" t="str">
        <f>'Wrksht. H, CWIP Desc. EKS'!B41</f>
        <v>1070002</v>
      </c>
      <c r="C41" s="540" t="str">
        <f>'Wrksht. H, CWIP Desc. EKS'!C41</f>
        <v>JEC0807532</v>
      </c>
      <c r="D41" s="541">
        <f>'Wrksht. I, CWIP AFUDC Cre. EKS'!I42</f>
        <v>0</v>
      </c>
      <c r="E41" s="542" t="str">
        <f>'Wrksht. H, CWIP Desc. EKS'!E41</f>
        <v>PC</v>
      </c>
      <c r="F41" s="541"/>
      <c r="G41" s="541">
        <f t="shared" si="4"/>
        <v>0</v>
      </c>
      <c r="H41" s="541">
        <v>0</v>
      </c>
      <c r="I41" s="544"/>
      <c r="J41" s="545" t="str">
        <f>'Wrksht. H, CWIP Desc. EKS'!F41</f>
        <v>J2 LOW NOX &amp; SOFA UPGRD PH1</v>
      </c>
    </row>
    <row r="42" spans="1:10">
      <c r="A42" s="618">
        <f t="shared" si="1"/>
        <v>32</v>
      </c>
      <c r="B42" s="539" t="str">
        <f>'Wrksht. H, CWIP Desc. EKS'!B42</f>
        <v>1070002</v>
      </c>
      <c r="C42" s="540" t="str">
        <f>'Wrksht. H, CWIP Desc. EKS'!C42</f>
        <v>JEC0809051</v>
      </c>
      <c r="D42" s="541">
        <f>'Wrksht. I, CWIP AFUDC Cre. EKS'!I43</f>
        <v>0</v>
      </c>
      <c r="E42" s="542" t="str">
        <f>'Wrksht. H, CWIP Desc. EKS'!E42</f>
        <v>O</v>
      </c>
      <c r="F42" s="541"/>
      <c r="G42" s="541">
        <f t="shared" si="4"/>
        <v>0</v>
      </c>
      <c r="H42" s="541">
        <f t="shared" si="5"/>
        <v>0</v>
      </c>
      <c r="I42" s="544"/>
      <c r="J42" s="545" t="str">
        <f>'Wrksht. H, CWIP Desc. EKS'!F42</f>
        <v>REPLACE TRANSFER BUILDING 1 WIRE ROPE HOIST</v>
      </c>
    </row>
    <row r="43" spans="1:10">
      <c r="A43" s="618">
        <f t="shared" si="1"/>
        <v>33</v>
      </c>
      <c r="B43" s="539" t="str">
        <f>'Wrksht. H, CWIP Desc. EKS'!B43</f>
        <v>1070002</v>
      </c>
      <c r="C43" s="540" t="str">
        <f>'Wrksht. H, CWIP Desc. EKS'!C43</f>
        <v>JEC0810415</v>
      </c>
      <c r="D43" s="541">
        <f>'Wrksht. I, CWIP AFUDC Cre. EKS'!I44</f>
        <v>0</v>
      </c>
      <c r="E43" s="542" t="str">
        <f>'Wrksht. H, CWIP Desc. EKS'!E43</f>
        <v>O</v>
      </c>
      <c r="F43" s="541"/>
      <c r="G43" s="541">
        <f t="shared" si="4"/>
        <v>0</v>
      </c>
      <c r="H43" s="541">
        <f t="shared" si="5"/>
        <v>0</v>
      </c>
      <c r="I43" s="544"/>
      <c r="J43" s="545" t="str">
        <f>'Wrksht. H, CWIP Desc. EKS'!F43</f>
        <v>ERGONOMIC CHAIRS</v>
      </c>
    </row>
    <row r="44" spans="1:10">
      <c r="A44" s="618">
        <f t="shared" si="1"/>
        <v>34</v>
      </c>
      <c r="B44" s="539" t="str">
        <f>'Wrksht. H, CWIP Desc. EKS'!B44</f>
        <v>1070002</v>
      </c>
      <c r="C44" s="540" t="str">
        <f>'Wrksht. H, CWIP Desc. EKS'!C44</f>
        <v>JEC0810709</v>
      </c>
      <c r="D44" s="541">
        <f>'Wrksht. I, CWIP AFUDC Cre. EKS'!I45</f>
        <v>0</v>
      </c>
      <c r="E44" s="542" t="str">
        <f>'Wrksht. H, CWIP Desc. EKS'!E44</f>
        <v>O</v>
      </c>
      <c r="F44" s="541"/>
      <c r="G44" s="541">
        <f t="shared" si="4"/>
        <v>0</v>
      </c>
      <c r="H44" s="541">
        <f t="shared" si="5"/>
        <v>0</v>
      </c>
      <c r="I44" s="544"/>
      <c r="J44" s="545" t="str">
        <f>'Wrksht. H, CWIP Desc. EKS'!F44</f>
        <v>JCOM DUMPER BUILDING HVAC IMPR</v>
      </c>
    </row>
    <row r="45" spans="1:10">
      <c r="A45" s="618">
        <f t="shared" si="1"/>
        <v>35</v>
      </c>
      <c r="B45" s="539" t="str">
        <f>'Wrksht. H, CWIP Desc. EKS'!B45</f>
        <v>1070002</v>
      </c>
      <c r="C45" s="540" t="str">
        <f>'Wrksht. H, CWIP Desc. EKS'!C45</f>
        <v>JEC0810728</v>
      </c>
      <c r="D45" s="541">
        <f>'Wrksht. I, CWIP AFUDC Cre. EKS'!I46</f>
        <v>0</v>
      </c>
      <c r="E45" s="542" t="str">
        <f>'Wrksht. H, CWIP Desc. EKS'!E45</f>
        <v>O</v>
      </c>
      <c r="F45" s="541"/>
      <c r="G45" s="541">
        <f t="shared" si="4"/>
        <v>0</v>
      </c>
      <c r="H45" s="541">
        <f t="shared" si="5"/>
        <v>0</v>
      </c>
      <c r="I45" s="544"/>
      <c r="J45" s="545" t="str">
        <f>'Wrksht. H, CWIP Desc. EKS'!F45</f>
        <v>3B CONVEYOR IDLER REPLACEMENT</v>
      </c>
    </row>
    <row r="46" spans="1:10">
      <c r="A46" s="618">
        <f t="shared" si="1"/>
        <v>36</v>
      </c>
      <c r="B46" s="539" t="str">
        <f>'Wrksht. H, CWIP Desc. EKS'!B46</f>
        <v>1070002</v>
      </c>
      <c r="C46" s="540" t="str">
        <f>'Wrksht. H, CWIP Desc. EKS'!C46</f>
        <v>JEC0812008</v>
      </c>
      <c r="D46" s="541">
        <f>'Wrksht. I, CWIP AFUDC Cre. EKS'!I47</f>
        <v>0</v>
      </c>
      <c r="E46" s="542" t="str">
        <f>'Wrksht. H, CWIP Desc. EKS'!E46</f>
        <v>O</v>
      </c>
      <c r="F46" s="541"/>
      <c r="G46" s="541">
        <f t="shared" si="4"/>
        <v>0</v>
      </c>
      <c r="H46" s="541">
        <f t="shared" si="5"/>
        <v>0</v>
      </c>
      <c r="I46" s="544"/>
      <c r="J46" s="545" t="str">
        <f>'Wrksht. H, CWIP Desc. EKS'!F46</f>
        <v>JCOM PLANT LIGHTING UPGRADE</v>
      </c>
    </row>
    <row r="47" spans="1:10">
      <c r="A47" s="618">
        <f t="shared" si="1"/>
        <v>37</v>
      </c>
      <c r="B47" s="539" t="str">
        <f>'Wrksht. H, CWIP Desc. EKS'!B47</f>
        <v>1070002</v>
      </c>
      <c r="C47" s="540" t="str">
        <f>'Wrksht. H, CWIP Desc. EKS'!C47</f>
        <v>JEC0812402</v>
      </c>
      <c r="D47" s="541">
        <f>'Wrksht. I, CWIP AFUDC Cre. EKS'!I48</f>
        <v>0</v>
      </c>
      <c r="E47" s="542" t="str">
        <f>'Wrksht. H, CWIP Desc. EKS'!E47</f>
        <v>PC</v>
      </c>
      <c r="F47" s="541"/>
      <c r="G47" s="541">
        <f t="shared" si="4"/>
        <v>0</v>
      </c>
      <c r="H47" s="541">
        <v>0</v>
      </c>
      <c r="I47" s="544"/>
      <c r="J47" s="545" t="str">
        <f>'Wrksht. H, CWIP Desc. EKS'!F47</f>
        <v>JCOM FUEL YARD DUST SURFACTANT UPGR</v>
      </c>
    </row>
    <row r="48" spans="1:10">
      <c r="A48" s="618">
        <f t="shared" si="1"/>
        <v>38</v>
      </c>
      <c r="B48" s="539" t="str">
        <f>'Wrksht. H, CWIP Desc. EKS'!B48</f>
        <v>1070002</v>
      </c>
      <c r="C48" s="540" t="str">
        <f>'Wrksht. H, CWIP Desc. EKS'!C48</f>
        <v>JEC0813049</v>
      </c>
      <c r="D48" s="541">
        <f>'Wrksht. I, CWIP AFUDC Cre. EKS'!I49</f>
        <v>0</v>
      </c>
      <c r="E48" s="542" t="str">
        <f>'Wrksht. H, CWIP Desc. EKS'!E48</f>
        <v>O</v>
      </c>
      <c r="F48" s="541"/>
      <c r="G48" s="541">
        <f t="shared" si="4"/>
        <v>0</v>
      </c>
      <c r="H48" s="541">
        <f t="shared" si="5"/>
        <v>0</v>
      </c>
      <c r="I48" s="544"/>
      <c r="J48" s="545" t="str">
        <f>'Wrksht. H, CWIP Desc. EKS'!F48</f>
        <v>J3 REA ARC FLASH PROTECTION PROJECT</v>
      </c>
    </row>
    <row r="49" spans="1:10">
      <c r="A49" s="618">
        <f t="shared" si="1"/>
        <v>39</v>
      </c>
      <c r="B49" s="539" t="str">
        <f>'Wrksht. H, CWIP Desc. EKS'!B49</f>
        <v>1070002</v>
      </c>
      <c r="C49" s="540" t="str">
        <f>'Wrksht. H, CWIP Desc. EKS'!C49</f>
        <v>JEC0814618</v>
      </c>
      <c r="D49" s="541">
        <f>'Wrksht. I, CWIP AFUDC Cre. EKS'!I50</f>
        <v>0</v>
      </c>
      <c r="E49" s="542" t="str">
        <f>'Wrksht. H, CWIP Desc. EKS'!E49</f>
        <v>O</v>
      </c>
      <c r="F49" s="541"/>
      <c r="G49" s="541">
        <f t="shared" si="4"/>
        <v>0</v>
      </c>
      <c r="H49" s="541">
        <f t="shared" si="5"/>
        <v>0</v>
      </c>
      <c r="I49" s="544"/>
      <c r="J49" s="545" t="str">
        <f>'Wrksht. H, CWIP Desc. EKS'!F49</f>
        <v>JCOM COAL CONVEYOR CHUTE UPGRADES</v>
      </c>
    </row>
    <row r="50" spans="1:10">
      <c r="A50" s="618">
        <f t="shared" si="1"/>
        <v>40</v>
      </c>
      <c r="B50" s="539" t="str">
        <f>'Wrksht. H, CWIP Desc. EKS'!B50</f>
        <v>1070002</v>
      </c>
      <c r="C50" s="540" t="str">
        <f>'Wrksht. H, CWIP Desc. EKS'!C50</f>
        <v>JEC0818019</v>
      </c>
      <c r="D50" s="541">
        <f>'Wrksht. I, CWIP AFUDC Cre. EKS'!I51</f>
        <v>0</v>
      </c>
      <c r="E50" s="542" t="str">
        <f>'Wrksht. H, CWIP Desc. EKS'!E50</f>
        <v>O</v>
      </c>
      <c r="F50" s="541"/>
      <c r="G50" s="541">
        <f t="shared" si="4"/>
        <v>0</v>
      </c>
      <c r="H50" s="541">
        <f t="shared" si="5"/>
        <v>0</v>
      </c>
      <c r="I50" s="544"/>
      <c r="J50" s="545" t="str">
        <f>'Wrksht. H, CWIP Desc. EKS'!F50</f>
        <v>JCOM COAL CONVEYOR BELT REPLACEMENT</v>
      </c>
    </row>
    <row r="51" spans="1:10">
      <c r="A51" s="618">
        <f>A50+1</f>
        <v>41</v>
      </c>
      <c r="B51" s="539" t="str">
        <f>'Wrksht. H, CWIP Desc. EKS'!B51</f>
        <v>1070002</v>
      </c>
      <c r="C51" s="540" t="str">
        <f>'Wrksht. H, CWIP Desc. EKS'!C51</f>
        <v>JEC0818640</v>
      </c>
      <c r="D51" s="541">
        <f>'Wrksht. I, CWIP AFUDC Cre. EKS'!I52</f>
        <v>0</v>
      </c>
      <c r="E51" s="542" t="str">
        <f>'Wrksht. H, CWIP Desc. EKS'!E51</f>
        <v>PC</v>
      </c>
      <c r="F51" s="541"/>
      <c r="G51" s="541">
        <f t="shared" si="4"/>
        <v>0</v>
      </c>
      <c r="H51" s="541">
        <v>0</v>
      </c>
      <c r="I51" s="544"/>
      <c r="J51" s="545" t="str">
        <f>'Wrksht. H, CWIP Desc. EKS'!F51</f>
        <v>JEC 123 FGD UPGRADE</v>
      </c>
    </row>
    <row r="52" spans="1:10">
      <c r="A52" s="618">
        <f t="shared" si="1"/>
        <v>42</v>
      </c>
      <c r="B52" s="539" t="str">
        <f>'Wrksht. H, CWIP Desc. EKS'!B52</f>
        <v>1070002</v>
      </c>
      <c r="C52" s="540" t="str">
        <f>'Wrksht. H, CWIP Desc. EKS'!C52</f>
        <v>JEC0818707</v>
      </c>
      <c r="D52" s="541">
        <f>'Wrksht. I, CWIP AFUDC Cre. EKS'!I53</f>
        <v>0</v>
      </c>
      <c r="E52" s="542" t="str">
        <f>'Wrksht. H, CWIP Desc. EKS'!E52</f>
        <v>PC</v>
      </c>
      <c r="F52" s="541"/>
      <c r="G52" s="541">
        <f t="shared" si="4"/>
        <v>0</v>
      </c>
      <c r="H52" s="541">
        <v>0</v>
      </c>
      <c r="I52" s="544"/>
      <c r="J52" s="545" t="str">
        <f>'Wrksht. H, CWIP Desc. EKS'!F52</f>
        <v>J3 ESP REBUILD PHASE 1</v>
      </c>
    </row>
    <row r="53" spans="1:10">
      <c r="A53" s="618">
        <f t="shared" si="1"/>
        <v>43</v>
      </c>
      <c r="B53" s="539" t="str">
        <f>'Wrksht. H, CWIP Desc. EKS'!B53</f>
        <v>1070002</v>
      </c>
      <c r="C53" s="540" t="str">
        <f>'Wrksht. H, CWIP Desc. EKS'!C53</f>
        <v>JEC0818835</v>
      </c>
      <c r="D53" s="541">
        <f>'Wrksht. I, CWIP AFUDC Cre. EKS'!I54</f>
        <v>0</v>
      </c>
      <c r="E53" s="542" t="str">
        <f>'Wrksht. H, CWIP Desc. EKS'!E53</f>
        <v>PC</v>
      </c>
      <c r="F53" s="541"/>
      <c r="G53" s="541">
        <f t="shared" si="4"/>
        <v>0</v>
      </c>
      <c r="H53" s="541">
        <v>0</v>
      </c>
      <c r="I53" s="544"/>
      <c r="J53" s="545" t="str">
        <f>'Wrksht. H, CWIP Desc. EKS'!F53</f>
        <v>J3 ESP REBUILD PHASE 1</v>
      </c>
    </row>
    <row r="54" spans="1:10">
      <c r="A54" s="618">
        <f t="shared" si="1"/>
        <v>44</v>
      </c>
      <c r="B54" s="539" t="str">
        <f>'Wrksht. H, CWIP Desc. EKS'!B54</f>
        <v>1070002</v>
      </c>
      <c r="C54" s="540" t="str">
        <f>'Wrksht. H, CWIP Desc. EKS'!C54</f>
        <v>JEC0819882</v>
      </c>
      <c r="D54" s="541">
        <f>'Wrksht. I, CWIP AFUDC Cre. EKS'!I55</f>
        <v>0</v>
      </c>
      <c r="E54" s="542" t="str">
        <f>'Wrksht. H, CWIP Desc. EKS'!E54</f>
        <v>PC</v>
      </c>
      <c r="F54" s="541"/>
      <c r="G54" s="541">
        <f t="shared" si="4"/>
        <v>0</v>
      </c>
      <c r="H54" s="541">
        <v>0</v>
      </c>
      <c r="I54" s="544"/>
      <c r="J54" s="545" t="str">
        <f>'Wrksht. H, CWIP Desc. EKS'!F54</f>
        <v>JEC 123 FGD UPGRADE</v>
      </c>
    </row>
    <row r="55" spans="1:10">
      <c r="A55" s="618">
        <f t="shared" si="1"/>
        <v>45</v>
      </c>
      <c r="B55" s="539" t="str">
        <f>'Wrksht. H, CWIP Desc. EKS'!B55</f>
        <v>1070002</v>
      </c>
      <c r="C55" s="540" t="str">
        <f>'Wrksht. H, CWIP Desc. EKS'!C55</f>
        <v>JEC0820631</v>
      </c>
      <c r="D55" s="541">
        <f>'Wrksht. I, CWIP AFUDC Cre. EKS'!I56</f>
        <v>0</v>
      </c>
      <c r="E55" s="542" t="str">
        <f>'Wrksht. H, CWIP Desc. EKS'!E55</f>
        <v>O</v>
      </c>
      <c r="F55" s="541"/>
      <c r="G55" s="541">
        <f t="shared" si="4"/>
        <v>0</v>
      </c>
      <c r="H55" s="541">
        <f t="shared" si="5"/>
        <v>0</v>
      </c>
      <c r="I55" s="544"/>
      <c r="J55" s="545" t="str">
        <f>'Wrksht. H, CWIP Desc. EKS'!F55</f>
        <v>CONTINUOUS PERFORMANCE MONITORING SYSTEM</v>
      </c>
    </row>
    <row r="56" spans="1:10">
      <c r="A56" s="618">
        <f t="shared" si="1"/>
        <v>46</v>
      </c>
      <c r="B56" s="539" t="str">
        <f>'Wrksht. H, CWIP Desc. EKS'!B56</f>
        <v>1070002</v>
      </c>
      <c r="C56" s="540" t="str">
        <f>'Wrksht. H, CWIP Desc. EKS'!C56</f>
        <v>A30042</v>
      </c>
      <c r="D56" s="546">
        <f>'Wrksht. I, CWIP AFUDC Cre. EKS'!I57</f>
        <v>0</v>
      </c>
      <c r="E56" s="542" t="str">
        <f>'Wrksht. H, CWIP Desc. EKS'!E56</f>
        <v>PC</v>
      </c>
      <c r="F56" s="541"/>
      <c r="G56" s="546">
        <f t="shared" si="4"/>
        <v>0</v>
      </c>
      <c r="H56" s="546">
        <v>0</v>
      </c>
      <c r="I56" s="544"/>
      <c r="J56" s="545" t="str">
        <f>'Wrksht. H, CWIP Desc. EKS'!F56</f>
        <v>ENVIRONMENTAL INSTRUMENTS</v>
      </c>
    </row>
    <row r="57" spans="1:10">
      <c r="A57" s="618">
        <f t="shared" ref="A57:A100" si="6">A56+1</f>
        <v>47</v>
      </c>
      <c r="B57" s="539" t="str">
        <f>'Wrksht. H, CWIP Desc. EKS'!B57</f>
        <v>1070002</v>
      </c>
      <c r="C57" s="540" t="str">
        <f>'Wrksht. H, CWIP Desc. EKS'!C57</f>
        <v>EEC0600757</v>
      </c>
      <c r="D57" s="546">
        <f>'Wrksht. I, CWIP AFUDC Cre. EKS'!I58</f>
        <v>0</v>
      </c>
      <c r="E57" s="542" t="str">
        <f>'Wrksht. H, CWIP Desc. EKS'!E57</f>
        <v>O</v>
      </c>
      <c r="F57" s="541"/>
      <c r="G57" s="546">
        <f t="shared" ref="G57:G100" si="7">IF(H57=0,D57,0)</f>
        <v>0</v>
      </c>
      <c r="H57" s="546">
        <f t="shared" si="5"/>
        <v>0</v>
      </c>
      <c r="I57" s="544"/>
      <c r="J57" s="545" t="str">
        <f>'Wrksht. H, CWIP Desc. EKS'!F57</f>
        <v>GENERATOR PREDICTIVE MAINTENANCE PR</v>
      </c>
    </row>
    <row r="58" spans="1:10">
      <c r="A58" s="618">
        <f t="shared" si="6"/>
        <v>48</v>
      </c>
      <c r="B58" s="539" t="str">
        <f>'Wrksht. H, CWIP Desc. EKS'!B58</f>
        <v>1070002</v>
      </c>
      <c r="C58" s="540" t="str">
        <f>'Wrksht. H, CWIP Desc. EKS'!C58</f>
        <v>EEC0600758</v>
      </c>
      <c r="D58" s="546">
        <f>'Wrksht. I, CWIP AFUDC Cre. EKS'!I59</f>
        <v>0</v>
      </c>
      <c r="E58" s="542" t="str">
        <f>'Wrksht. H, CWIP Desc. EKS'!E58</f>
        <v>O</v>
      </c>
      <c r="F58" s="541"/>
      <c r="G58" s="546">
        <f t="shared" si="7"/>
        <v>0</v>
      </c>
      <c r="H58" s="546">
        <f t="shared" si="5"/>
        <v>0</v>
      </c>
      <c r="I58" s="544"/>
      <c r="J58" s="545" t="str">
        <f>'Wrksht. H, CWIP Desc. EKS'!F58</f>
        <v>GENERATOR PREDICTIVE MAINTENANCE PR</v>
      </c>
    </row>
    <row r="59" spans="1:10">
      <c r="A59" s="618">
        <f t="shared" si="6"/>
        <v>49</v>
      </c>
      <c r="B59" s="539" t="str">
        <f>'Wrksht. H, CWIP Desc. EKS'!B59</f>
        <v>1070002</v>
      </c>
      <c r="C59" s="540" t="str">
        <f>'Wrksht. H, CWIP Desc. EKS'!C59</f>
        <v>EEC0705347</v>
      </c>
      <c r="D59" s="546">
        <f>'Wrksht. I, CWIP AFUDC Cre. EKS'!I60</f>
        <v>0</v>
      </c>
      <c r="E59" s="542" t="str">
        <f>'Wrksht. H, CWIP Desc. EKS'!E59</f>
        <v>O</v>
      </c>
      <c r="F59" s="541"/>
      <c r="G59" s="546">
        <f t="shared" si="7"/>
        <v>0</v>
      </c>
      <c r="H59" s="546">
        <f t="shared" si="5"/>
        <v>0</v>
      </c>
      <c r="I59" s="544"/>
      <c r="J59" s="545" t="str">
        <f>'Wrksht. H, CWIP Desc. EKS'!F59</f>
        <v xml:space="preserve">INSTALLATION OF ACCELEROMETERS   </v>
      </c>
    </row>
    <row r="60" spans="1:10">
      <c r="A60" s="618">
        <f t="shared" si="6"/>
        <v>50</v>
      </c>
      <c r="B60" s="539" t="str">
        <f>'Wrksht. H, CWIP Desc. EKS'!B60</f>
        <v>1070002</v>
      </c>
      <c r="C60" s="540" t="str">
        <f>'Wrksht. H, CWIP Desc. EKS'!C60</f>
        <v>EEC0707015</v>
      </c>
      <c r="D60" s="546">
        <f>'Wrksht. I, CWIP AFUDC Cre. EKS'!I61</f>
        <v>0</v>
      </c>
      <c r="E60" s="542" t="str">
        <f>'Wrksht. H, CWIP Desc. EKS'!E60</f>
        <v>O</v>
      </c>
      <c r="F60" s="541"/>
      <c r="G60" s="546">
        <f t="shared" si="7"/>
        <v>0</v>
      </c>
      <c r="H60" s="546">
        <f t="shared" si="5"/>
        <v>0</v>
      </c>
      <c r="I60" s="544"/>
      <c r="J60" s="545" t="str">
        <f>'Wrksht. H, CWIP Desc. EKS'!F60</f>
        <v>GEEC2 LP1 TURBINE BLADE REPLACEMENT</v>
      </c>
    </row>
    <row r="61" spans="1:10" ht="20.399999999999999">
      <c r="A61" s="1740" t="s">
        <v>2998</v>
      </c>
      <c r="B61" s="1740"/>
      <c r="C61" s="1741"/>
      <c r="D61" s="1741"/>
      <c r="E61" s="1741"/>
      <c r="F61" s="1741"/>
      <c r="G61" s="1741"/>
      <c r="H61" s="1741"/>
      <c r="I61" s="1741"/>
      <c r="J61" s="1741"/>
    </row>
    <row r="62" spans="1:10" ht="19.2">
      <c r="A62" s="1742" t="str">
        <f>A2</f>
        <v>For Contract Year Beginning June 1, 2024, Based on 2023 Data</v>
      </c>
      <c r="B62" s="1742"/>
      <c r="C62" s="1743"/>
      <c r="D62" s="1743"/>
      <c r="E62" s="1743"/>
      <c r="F62" s="1743"/>
      <c r="G62" s="1743"/>
      <c r="H62" s="1743"/>
      <c r="I62" s="1743"/>
      <c r="J62" s="1743"/>
    </row>
    <row r="63" spans="1:10">
      <c r="A63" s="485"/>
      <c r="B63" s="485"/>
      <c r="C63" s="486"/>
      <c r="D63" s="486"/>
      <c r="E63" s="486"/>
      <c r="F63" s="486"/>
      <c r="G63" s="486"/>
      <c r="H63" s="487"/>
      <c r="I63" s="486"/>
      <c r="J63" s="486"/>
    </row>
    <row r="64" spans="1:10">
      <c r="A64" s="485"/>
      <c r="B64" s="485"/>
      <c r="C64" s="487"/>
      <c r="D64" s="763" t="s">
        <v>480</v>
      </c>
      <c r="E64" s="763" t="s">
        <v>481</v>
      </c>
      <c r="F64" s="763" t="s">
        <v>482</v>
      </c>
      <c r="G64" s="763" t="s">
        <v>483</v>
      </c>
      <c r="H64" s="763" t="s">
        <v>484</v>
      </c>
      <c r="I64" s="763" t="s">
        <v>884</v>
      </c>
      <c r="J64" s="763" t="s">
        <v>485</v>
      </c>
    </row>
    <row r="65" spans="1:10">
      <c r="A65" s="485"/>
      <c r="B65" s="485"/>
      <c r="C65" s="486"/>
      <c r="D65" s="764" t="s">
        <v>1545</v>
      </c>
      <c r="E65" s="765" t="s">
        <v>1578</v>
      </c>
      <c r="F65" s="766"/>
      <c r="G65" s="765">
        <v>1</v>
      </c>
      <c r="H65" s="765">
        <v>0.5</v>
      </c>
      <c r="I65" s="763" t="s">
        <v>468</v>
      </c>
      <c r="J65" s="764" t="s">
        <v>476</v>
      </c>
    </row>
    <row r="66" spans="1:10">
      <c r="A66" s="485"/>
      <c r="B66" s="485"/>
      <c r="C66" s="486"/>
      <c r="D66" s="764" t="s">
        <v>1568</v>
      </c>
      <c r="E66" s="763" t="s">
        <v>1583</v>
      </c>
      <c r="F66" s="763"/>
      <c r="G66" s="763" t="s">
        <v>116</v>
      </c>
      <c r="H66" s="763" t="s">
        <v>116</v>
      </c>
      <c r="I66" s="763" t="s">
        <v>1079</v>
      </c>
      <c r="J66" s="764" t="s">
        <v>15</v>
      </c>
    </row>
    <row r="67" spans="1:10">
      <c r="A67" s="485"/>
      <c r="B67" s="485"/>
      <c r="C67" s="486"/>
      <c r="D67" s="764" t="s">
        <v>1569</v>
      </c>
      <c r="E67" s="764" t="s">
        <v>221</v>
      </c>
      <c r="F67" s="763"/>
      <c r="G67" s="763" t="s">
        <v>1584</v>
      </c>
      <c r="H67" s="763" t="s">
        <v>1585</v>
      </c>
      <c r="I67" s="763" t="s">
        <v>299</v>
      </c>
      <c r="J67" s="764"/>
    </row>
    <row r="68" spans="1:10">
      <c r="A68" s="485"/>
      <c r="B68" s="485"/>
      <c r="C68" s="522"/>
      <c r="D68" s="763" t="s">
        <v>1949</v>
      </c>
      <c r="E68" s="764"/>
      <c r="F68" s="769"/>
      <c r="G68" s="511"/>
      <c r="H68" s="511"/>
      <c r="I68" s="770"/>
      <c r="J68" s="770"/>
    </row>
    <row r="69" spans="1:10">
      <c r="A69" s="485"/>
      <c r="B69" s="485"/>
      <c r="C69" s="522"/>
      <c r="D69" s="496"/>
      <c r="E69" s="497"/>
      <c r="F69" s="498"/>
      <c r="G69" s="767"/>
      <c r="H69" s="767"/>
      <c r="I69" s="486"/>
      <c r="J69" s="486"/>
    </row>
    <row r="70" spans="1:10">
      <c r="A70" s="499" t="s">
        <v>531</v>
      </c>
      <c r="B70" s="500" t="s">
        <v>1078</v>
      </c>
      <c r="C70" s="501" t="s">
        <v>1077</v>
      </c>
      <c r="D70" s="528"/>
      <c r="E70" s="528"/>
      <c r="F70" s="528"/>
      <c r="G70" s="528"/>
      <c r="H70" s="528"/>
      <c r="I70" s="508"/>
      <c r="J70" s="484"/>
    </row>
    <row r="71" spans="1:10">
      <c r="A71" s="618">
        <f>A60+1</f>
        <v>51</v>
      </c>
      <c r="B71" s="539" t="str">
        <f>'Wrksht. H, CWIP Desc. EKS'!B61</f>
        <v>1070002</v>
      </c>
      <c r="C71" s="540" t="str">
        <f>'Wrksht. H, CWIP Desc. EKS'!C61</f>
        <v>EEC0800120</v>
      </c>
      <c r="D71" s="546">
        <f>'Wrksht. I, CWIP AFUDC Cre. EKS'!I62</f>
        <v>0</v>
      </c>
      <c r="E71" s="542" t="str">
        <f>'Wrksht. H, CWIP Desc. EKS'!E61</f>
        <v>O</v>
      </c>
      <c r="F71" s="541"/>
      <c r="G71" s="546">
        <f t="shared" si="7"/>
        <v>0</v>
      </c>
      <c r="H71" s="546">
        <f t="shared" si="5"/>
        <v>0</v>
      </c>
      <c r="I71" s="544"/>
      <c r="J71" s="545" t="str">
        <f>'Wrksht. H, CWIP Desc. EKS'!F61</f>
        <v>GEEC E2 GENERATOR UPGRADE</v>
      </c>
    </row>
    <row r="72" spans="1:10" ht="13.95" customHeight="1">
      <c r="A72" s="618">
        <f t="shared" si="6"/>
        <v>52</v>
      </c>
      <c r="B72" s="539" t="str">
        <f>'Wrksht. H, CWIP Desc. EKS'!B62</f>
        <v>1070002</v>
      </c>
      <c r="C72" s="540" t="str">
        <f>'Wrksht. H, CWIP Desc. EKS'!C62</f>
        <v>EEC0800294</v>
      </c>
      <c r="D72" s="546">
        <f>'Wrksht. I, CWIP AFUDC Cre. EKS'!I63</f>
        <v>0</v>
      </c>
      <c r="E72" s="542" t="str">
        <f>'Wrksht. H, CWIP Desc. EKS'!E62</f>
        <v>O</v>
      </c>
      <c r="F72" s="541"/>
      <c r="G72" s="546">
        <f t="shared" si="7"/>
        <v>0</v>
      </c>
      <c r="H72" s="546">
        <f t="shared" si="5"/>
        <v>0</v>
      </c>
      <c r="I72" s="544"/>
      <c r="J72" s="545" t="str">
        <f>'Wrksht. H, CWIP Desc. EKS'!F62</f>
        <v>GEEC SOUTH PLANT MISC TOOLS AND SMALL PROJECTS</v>
      </c>
    </row>
    <row r="73" spans="1:10">
      <c r="A73" s="618">
        <f t="shared" si="6"/>
        <v>53</v>
      </c>
      <c r="B73" s="539" t="str">
        <f>'Wrksht. H, CWIP Desc. EKS'!B63</f>
        <v>1070002</v>
      </c>
      <c r="C73" s="540" t="str">
        <f>'Wrksht. H, CWIP Desc. EKS'!C63</f>
        <v>EEC0800491</v>
      </c>
      <c r="D73" s="546">
        <f>'Wrksht. I, CWIP AFUDC Cre. EKS'!I64</f>
        <v>0</v>
      </c>
      <c r="E73" s="542" t="str">
        <f>'Wrksht. H, CWIP Desc. EKS'!E63</f>
        <v>O</v>
      </c>
      <c r="F73" s="541"/>
      <c r="G73" s="546">
        <f t="shared" si="7"/>
        <v>0</v>
      </c>
      <c r="H73" s="546">
        <f t="shared" si="5"/>
        <v>0</v>
      </c>
      <c r="I73" s="544"/>
      <c r="J73" s="545" t="str">
        <f>'Wrksht. H, CWIP Desc. EKS'!F63</f>
        <v>GENERATOR PREDICTIVE MAINTENANCE</v>
      </c>
    </row>
    <row r="74" spans="1:10">
      <c r="A74" s="618">
        <f t="shared" si="6"/>
        <v>54</v>
      </c>
      <c r="B74" s="539" t="str">
        <f>'Wrksht. H, CWIP Desc. EKS'!B64</f>
        <v>1070002</v>
      </c>
      <c r="C74" s="540" t="str">
        <f>'Wrksht. H, CWIP Desc. EKS'!C64</f>
        <v>EEC0800569</v>
      </c>
      <c r="D74" s="546">
        <f>'Wrksht. I, CWIP AFUDC Cre. EKS'!I65</f>
        <v>0</v>
      </c>
      <c r="E74" s="542" t="str">
        <f>'Wrksht. H, CWIP Desc. EKS'!E64</f>
        <v>O</v>
      </c>
      <c r="F74" s="541"/>
      <c r="G74" s="546">
        <f t="shared" si="7"/>
        <v>0</v>
      </c>
      <c r="H74" s="546">
        <f t="shared" si="5"/>
        <v>0</v>
      </c>
      <c r="I74" s="544"/>
      <c r="J74" s="545" t="str">
        <f>'Wrksht. H, CWIP Desc. EKS'!F64</f>
        <v>ECOM RO MEMBRANE REPLACEMENT/UPGRAD</v>
      </c>
    </row>
    <row r="75" spans="1:10">
      <c r="A75" s="618">
        <f t="shared" si="6"/>
        <v>55</v>
      </c>
      <c r="B75" s="539" t="str">
        <f>'Wrksht. H, CWIP Desc. EKS'!B65</f>
        <v>1070002</v>
      </c>
      <c r="C75" s="540" t="str">
        <f>'Wrksht. H, CWIP Desc. EKS'!C65</f>
        <v>EEC0800914</v>
      </c>
      <c r="D75" s="546">
        <f>'Wrksht. I, CWIP AFUDC Cre. EKS'!I66</f>
        <v>0</v>
      </c>
      <c r="E75" s="542" t="str">
        <f>'Wrksht. H, CWIP Desc. EKS'!E65</f>
        <v>O</v>
      </c>
      <c r="F75" s="541"/>
      <c r="G75" s="546">
        <f t="shared" si="7"/>
        <v>0</v>
      </c>
      <c r="H75" s="546">
        <f t="shared" si="5"/>
        <v>0</v>
      </c>
      <c r="I75" s="544"/>
      <c r="J75" s="545" t="str">
        <f>'Wrksht. H, CWIP Desc. EKS'!F65</f>
        <v>E2 CONTROL VALVE UPGRADES</v>
      </c>
    </row>
    <row r="76" spans="1:10">
      <c r="A76" s="618">
        <f t="shared" si="6"/>
        <v>56</v>
      </c>
      <c r="B76" s="539" t="str">
        <f>'Wrksht. H, CWIP Desc. EKS'!B66</f>
        <v>1070002</v>
      </c>
      <c r="C76" s="540" t="str">
        <f>'Wrksht. H, CWIP Desc. EKS'!C66</f>
        <v>EEC0800947</v>
      </c>
      <c r="D76" s="546">
        <f>'Wrksht. I, CWIP AFUDC Cre. EKS'!I67</f>
        <v>0</v>
      </c>
      <c r="E76" s="542" t="str">
        <f>'Wrksht. H, CWIP Desc. EKS'!E66</f>
        <v>O</v>
      </c>
      <c r="F76" s="541"/>
      <c r="G76" s="546">
        <f t="shared" si="7"/>
        <v>0</v>
      </c>
      <c r="H76" s="546">
        <f t="shared" si="5"/>
        <v>0</v>
      </c>
      <c r="I76" s="544"/>
      <c r="J76" s="545" t="str">
        <f>'Wrksht. H, CWIP Desc. EKS'!F66</f>
        <v>ECOM BACKUP AIR COMPRESSOR UPGRADE</v>
      </c>
    </row>
    <row r="77" spans="1:10">
      <c r="A77" s="618">
        <f t="shared" si="6"/>
        <v>57</v>
      </c>
      <c r="B77" s="539" t="str">
        <f>'Wrksht. H, CWIP Desc. EKS'!B67</f>
        <v>1070002</v>
      </c>
      <c r="C77" s="540" t="str">
        <f>'Wrksht. H, CWIP Desc. EKS'!C67</f>
        <v>EEC0803796</v>
      </c>
      <c r="D77" s="546">
        <f>'Wrksht. I, CWIP AFUDC Cre. EKS'!I68</f>
        <v>0</v>
      </c>
      <c r="E77" s="542" t="str">
        <f>'Wrksht. H, CWIP Desc. EKS'!E67</f>
        <v>O</v>
      </c>
      <c r="F77" s="541"/>
      <c r="G77" s="546">
        <f t="shared" si="7"/>
        <v>0</v>
      </c>
      <c r="H77" s="546">
        <f t="shared" si="5"/>
        <v>0</v>
      </c>
      <c r="I77" s="544"/>
      <c r="J77" s="545" t="str">
        <f>'Wrksht. H, CWIP Desc. EKS'!F67</f>
        <v>E1 REHEAT REPLACEMENT</v>
      </c>
    </row>
    <row r="78" spans="1:10">
      <c r="A78" s="618">
        <f t="shared" si="6"/>
        <v>58</v>
      </c>
      <c r="B78" s="539" t="str">
        <f>'Wrksht. H, CWIP Desc. EKS'!B68</f>
        <v>1070002</v>
      </c>
      <c r="C78" s="540" t="str">
        <f>'Wrksht. H, CWIP Desc. EKS'!C68</f>
        <v>EEC0804389</v>
      </c>
      <c r="D78" s="546">
        <f>'Wrksht. I, CWIP AFUDC Cre. EKS'!I69</f>
        <v>0</v>
      </c>
      <c r="E78" s="542" t="str">
        <f>'Wrksht. H, CWIP Desc. EKS'!E68</f>
        <v>O</v>
      </c>
      <c r="F78" s="541"/>
      <c r="G78" s="546">
        <f t="shared" si="7"/>
        <v>0</v>
      </c>
      <c r="H78" s="546">
        <f t="shared" si="5"/>
        <v>0</v>
      </c>
      <c r="I78" s="544"/>
      <c r="J78" s="545" t="str">
        <f>'Wrksht. H, CWIP Desc. EKS'!F68</f>
        <v>E2 BOILER FLOOR REFRACTORY REPLACEMENT</v>
      </c>
    </row>
    <row r="79" spans="1:10" ht="26.4">
      <c r="A79" s="618">
        <f t="shared" si="6"/>
        <v>59</v>
      </c>
      <c r="B79" s="539" t="str">
        <f>'Wrksht. H, CWIP Desc. EKS'!B69</f>
        <v>1070002</v>
      </c>
      <c r="C79" s="540" t="str">
        <f>'Wrksht. H, CWIP Desc. EKS'!C69</f>
        <v>EEC0804390</v>
      </c>
      <c r="D79" s="546">
        <f>'Wrksht. I, CWIP AFUDC Cre. EKS'!I70</f>
        <v>0</v>
      </c>
      <c r="E79" s="542" t="str">
        <f>'Wrksht. H, CWIP Desc. EKS'!E69</f>
        <v>O</v>
      </c>
      <c r="F79" s="541"/>
      <c r="G79" s="546">
        <f t="shared" si="7"/>
        <v>0</v>
      </c>
      <c r="H79" s="546">
        <f t="shared" si="5"/>
        <v>0</v>
      </c>
      <c r="I79" s="544"/>
      <c r="J79" s="545" t="str">
        <f>'Wrksht. H, CWIP Desc. EKS'!F69</f>
        <v>SCARPELLI E2 ECONOMIZER ADJUSTABLE SUPPORT INSTALLATION</v>
      </c>
    </row>
    <row r="80" spans="1:10">
      <c r="A80" s="618">
        <f t="shared" si="6"/>
        <v>60</v>
      </c>
      <c r="B80" s="539" t="str">
        <f>'Wrksht. H, CWIP Desc. EKS'!B70</f>
        <v>1070002</v>
      </c>
      <c r="C80" s="540" t="str">
        <f>'Wrksht. H, CWIP Desc. EKS'!C70</f>
        <v>A30022</v>
      </c>
      <c r="D80" s="546">
        <f>'Wrksht. I, CWIP AFUDC Cre. EKS'!I71</f>
        <v>0</v>
      </c>
      <c r="E80" s="542" t="str">
        <f>'Wrksht. H, CWIP Desc. EKS'!E70</f>
        <v>PC</v>
      </c>
      <c r="F80" s="541"/>
      <c r="G80" s="546">
        <f t="shared" si="7"/>
        <v>0</v>
      </c>
      <c r="H80" s="546">
        <v>0</v>
      </c>
      <c r="I80" s="544"/>
      <c r="J80" s="545" t="str">
        <f>'Wrksht. H, CWIP Desc. EKS'!F70</f>
        <v>ENVIRONMENTAL INSTRUMENTATION</v>
      </c>
    </row>
    <row r="81" spans="1:10">
      <c r="A81" s="618">
        <f t="shared" si="6"/>
        <v>61</v>
      </c>
      <c r="B81" s="539" t="str">
        <f>'Wrksht. H, CWIP Desc. EKS'!B71</f>
        <v>1070002</v>
      </c>
      <c r="C81" s="540" t="str">
        <f>'Wrksht. H, CWIP Desc. EKS'!C71</f>
        <v>EEC0600760</v>
      </c>
      <c r="D81" s="546">
        <f>'Wrksht. I, CWIP AFUDC Cre. EKS'!I72</f>
        <v>0</v>
      </c>
      <c r="E81" s="542" t="str">
        <f>'Wrksht. H, CWIP Desc. EKS'!E71</f>
        <v>O</v>
      </c>
      <c r="F81" s="541"/>
      <c r="G81" s="546">
        <f t="shared" si="7"/>
        <v>0</v>
      </c>
      <c r="H81" s="546">
        <f t="shared" si="5"/>
        <v>0</v>
      </c>
      <c r="I81" s="544"/>
      <c r="J81" s="545" t="str">
        <f>'Wrksht. H, CWIP Desc. EKS'!F71</f>
        <v>INSTALL MG4 GENERATOR MONITORING EQUIPMENT</v>
      </c>
    </row>
    <row r="82" spans="1:10">
      <c r="A82" s="618">
        <f t="shared" si="6"/>
        <v>62</v>
      </c>
      <c r="B82" s="539" t="str">
        <f>'Wrksht. H, CWIP Desc. EKS'!B72</f>
        <v>1070002</v>
      </c>
      <c r="C82" s="540" t="str">
        <f>'Wrksht. H, CWIP Desc. EKS'!C72</f>
        <v>EEC0705349</v>
      </c>
      <c r="D82" s="546">
        <f>'Wrksht. I, CWIP AFUDC Cre. EKS'!I73</f>
        <v>0</v>
      </c>
      <c r="E82" s="542" t="str">
        <f>'Wrksht. H, CWIP Desc. EKS'!E72</f>
        <v>O</v>
      </c>
      <c r="F82" s="541"/>
      <c r="G82" s="546">
        <f t="shared" si="7"/>
        <v>0</v>
      </c>
      <c r="H82" s="546">
        <f t="shared" si="5"/>
        <v>0</v>
      </c>
      <c r="I82" s="544"/>
      <c r="J82" s="545" t="str">
        <f>'Wrksht. H, CWIP Desc. EKS'!F72</f>
        <v>ENERGY CENTER MISC TOOLS &amp; SMALL PR</v>
      </c>
    </row>
    <row r="83" spans="1:10">
      <c r="A83" s="618">
        <f t="shared" si="6"/>
        <v>63</v>
      </c>
      <c r="B83" s="539" t="str">
        <f>'Wrksht. H, CWIP Desc. EKS'!B73</f>
        <v>1070002</v>
      </c>
      <c r="C83" s="540" t="str">
        <f>'Wrksht. H, CWIP Desc. EKS'!C73</f>
        <v>EEC0800290</v>
      </c>
      <c r="D83" s="546">
        <f>'Wrksht. I, CWIP AFUDC Cre. EKS'!I74</f>
        <v>0</v>
      </c>
      <c r="E83" s="542" t="str">
        <f>'Wrksht. H, CWIP Desc. EKS'!E73</f>
        <v>O</v>
      </c>
      <c r="F83" s="541"/>
      <c r="G83" s="546">
        <f t="shared" si="7"/>
        <v>0</v>
      </c>
      <c r="H83" s="546">
        <f t="shared" si="5"/>
        <v>0</v>
      </c>
      <c r="I83" s="544"/>
      <c r="J83" s="545" t="str">
        <f>'Wrksht. H, CWIP Desc. EKS'!F73</f>
        <v>MISC TOOLS AND SMALL PROJECTS</v>
      </c>
    </row>
    <row r="84" spans="1:10">
      <c r="A84" s="618">
        <f t="shared" si="6"/>
        <v>64</v>
      </c>
      <c r="B84" s="539" t="str">
        <f>'Wrksht. H, CWIP Desc. EKS'!B74</f>
        <v>1070002</v>
      </c>
      <c r="C84" s="540" t="str">
        <f>'Wrksht. H, CWIP Desc. EKS'!C74</f>
        <v>EEC0800701</v>
      </c>
      <c r="D84" s="546">
        <f>'Wrksht. I, CWIP AFUDC Cre. EKS'!I75</f>
        <v>0</v>
      </c>
      <c r="E84" s="542" t="str">
        <f>'Wrksht. H, CWIP Desc. EKS'!E74</f>
        <v>PC</v>
      </c>
      <c r="F84" s="541"/>
      <c r="G84" s="546">
        <f t="shared" si="7"/>
        <v>0</v>
      </c>
      <c r="H84" s="546">
        <v>0</v>
      </c>
      <c r="I84" s="544"/>
      <c r="J84" s="545" t="str">
        <f>'Wrksht. H, CWIP Desc. EKS'!F74</f>
        <v>MGEC4 CEM REPLACEMENT PROJECT</v>
      </c>
    </row>
    <row r="85" spans="1:10">
      <c r="A85" s="618">
        <f t="shared" si="6"/>
        <v>65</v>
      </c>
      <c r="B85" s="539" t="str">
        <f>'Wrksht. H, CWIP Desc. EKS'!B75</f>
        <v>1070002</v>
      </c>
      <c r="C85" s="540" t="str">
        <f>'Wrksht. H, CWIP Desc. EKS'!C75</f>
        <v>EEC0800709</v>
      </c>
      <c r="D85" s="546">
        <f>'Wrksht. I, CWIP AFUDC Cre. EKS'!I76</f>
        <v>0</v>
      </c>
      <c r="E85" s="542" t="str">
        <f>'Wrksht. H, CWIP Desc. EKS'!E75</f>
        <v>PC</v>
      </c>
      <c r="F85" s="541"/>
      <c r="G85" s="546">
        <f t="shared" si="7"/>
        <v>0</v>
      </c>
      <c r="H85" s="546">
        <v>0</v>
      </c>
      <c r="I85" s="544"/>
      <c r="J85" s="545" t="str">
        <f>'Wrksht. H, CWIP Desc. EKS'!F75</f>
        <v>MGEC3 CEMS REPLACEMENT PROJECT</v>
      </c>
    </row>
    <row r="86" spans="1:10">
      <c r="A86" s="618">
        <f t="shared" si="6"/>
        <v>66</v>
      </c>
      <c r="B86" s="539" t="str">
        <f>'Wrksht. H, CWIP Desc. EKS'!B76</f>
        <v>1070002</v>
      </c>
      <c r="C86" s="540" t="str">
        <f>'Wrksht. H, CWIP Desc. EKS'!C76</f>
        <v>EEC0801801</v>
      </c>
      <c r="D86" s="546">
        <f>'Wrksht. I, CWIP AFUDC Cre. EKS'!I77</f>
        <v>0</v>
      </c>
      <c r="E86" s="542" t="str">
        <f>'Wrksht. H, CWIP Desc. EKS'!E76</f>
        <v>O</v>
      </c>
      <c r="F86" s="541"/>
      <c r="G86" s="546">
        <f t="shared" si="7"/>
        <v>0</v>
      </c>
      <c r="H86" s="546">
        <f t="shared" si="5"/>
        <v>0</v>
      </c>
      <c r="I86" s="544"/>
      <c r="J86" s="545" t="str">
        <f>'Wrksht. H, CWIP Desc. EKS'!F76</f>
        <v>GCOM AIR COMPRESSOR UPGRADE</v>
      </c>
    </row>
    <row r="87" spans="1:10">
      <c r="A87" s="618">
        <f t="shared" si="6"/>
        <v>67</v>
      </c>
      <c r="B87" s="539" t="str">
        <f>'Wrksht. H, CWIP Desc. EKS'!B77</f>
        <v>1070002</v>
      </c>
      <c r="C87" s="540" t="str">
        <f>'Wrksht. H, CWIP Desc. EKS'!C77</f>
        <v>EEC0701220</v>
      </c>
      <c r="D87" s="546">
        <f>'Wrksht. I, CWIP AFUDC Cre. EKS'!I78</f>
        <v>0</v>
      </c>
      <c r="E87" s="542" t="str">
        <f>'Wrksht. H, CWIP Desc. EKS'!E77</f>
        <v>O</v>
      </c>
      <c r="F87" s="541"/>
      <c r="G87" s="546">
        <f t="shared" si="7"/>
        <v>0</v>
      </c>
      <c r="H87" s="546">
        <f t="shared" si="5"/>
        <v>0</v>
      </c>
      <c r="I87" s="544"/>
      <c r="J87" s="545" t="str">
        <f>'Wrksht. H, CWIP Desc. EKS'!F77</f>
        <v>WATER QUALITY</v>
      </c>
    </row>
    <row r="88" spans="1:10">
      <c r="A88" s="618">
        <f t="shared" si="6"/>
        <v>68</v>
      </c>
      <c r="B88" s="539" t="str">
        <f>'Wrksht. H, CWIP Desc. EKS'!B78</f>
        <v>1070002</v>
      </c>
      <c r="C88" s="540" t="str">
        <f>'Wrksht. H, CWIP Desc. EKS'!C78</f>
        <v>EEC0800296</v>
      </c>
      <c r="D88" s="546">
        <f>'Wrksht. I, CWIP AFUDC Cre. EKS'!I79</f>
        <v>0</v>
      </c>
      <c r="E88" s="542" t="str">
        <f>'Wrksht. H, CWIP Desc. EKS'!E78</f>
        <v>O</v>
      </c>
      <c r="F88" s="541"/>
      <c r="G88" s="546">
        <f t="shared" si="7"/>
        <v>0</v>
      </c>
      <c r="H88" s="546">
        <f t="shared" si="5"/>
        <v>0</v>
      </c>
      <c r="I88" s="544"/>
      <c r="J88" s="545" t="str">
        <f>'Wrksht. H, CWIP Desc. EKS'!F78</f>
        <v>MISC TOOLS AND SMALL PROJECTS</v>
      </c>
    </row>
    <row r="89" spans="1:10">
      <c r="A89" s="618">
        <f t="shared" si="6"/>
        <v>69</v>
      </c>
      <c r="B89" s="539" t="str">
        <f>'Wrksht. H, CWIP Desc. EKS'!B79</f>
        <v>1070002</v>
      </c>
      <c r="C89" s="540" t="str">
        <f>'Wrksht. H, CWIP Desc. EKS'!C79</f>
        <v>EEC0805417</v>
      </c>
      <c r="D89" s="546">
        <f>'Wrksht. I, CWIP AFUDC Cre. EKS'!I80</f>
        <v>0</v>
      </c>
      <c r="E89" s="542" t="str">
        <f>'Wrksht. H, CWIP Desc. EKS'!E79</f>
        <v>O</v>
      </c>
      <c r="F89" s="541"/>
      <c r="G89" s="546">
        <f t="shared" si="7"/>
        <v>0</v>
      </c>
      <c r="H89" s="546">
        <f t="shared" si="5"/>
        <v>0</v>
      </c>
      <c r="I89" s="544"/>
      <c r="J89" s="545" t="str">
        <f>'Wrksht. H, CWIP Desc. EKS'!F79</f>
        <v>NEC GSU TRANSFORMER REWIND</v>
      </c>
    </row>
    <row r="90" spans="1:10">
      <c r="A90" s="619">
        <f t="shared" si="6"/>
        <v>70</v>
      </c>
      <c r="B90" s="539" t="str">
        <f>'Wrksht. H, CWIP Desc. EKS'!B80</f>
        <v>1070002</v>
      </c>
      <c r="C90" s="540" t="str">
        <f>'Wrksht. H, CWIP Desc. EKS'!C80</f>
        <v xml:space="preserve"> 7003189</v>
      </c>
      <c r="D90" s="546">
        <f>'Wrksht. I, CWIP AFUDC Cre. EKS'!I81</f>
        <v>0</v>
      </c>
      <c r="E90" s="542" t="str">
        <f>'Wrksht. H, CWIP Desc. EKS'!E80</f>
        <v>PC</v>
      </c>
      <c r="F90" s="541"/>
      <c r="G90" s="546">
        <f t="shared" si="7"/>
        <v>0</v>
      </c>
      <c r="H90" s="546">
        <v>0</v>
      </c>
      <c r="I90" s="544"/>
      <c r="J90" s="545" t="str">
        <f>'Wrksht. H, CWIP Desc. EKS'!F80</f>
        <v>CO2 EMISSION REDUCTION</v>
      </c>
    </row>
    <row r="91" spans="1:10">
      <c r="A91" s="619">
        <f t="shared" si="6"/>
        <v>71</v>
      </c>
      <c r="B91" s="539" t="str">
        <f>'Wrksht. H, CWIP Desc. EKS'!B81</f>
        <v>1070002</v>
      </c>
      <c r="C91" s="540" t="str">
        <f>'Wrksht. H, CWIP Desc. EKS'!C81</f>
        <v xml:space="preserve"> 7003204</v>
      </c>
      <c r="D91" s="546">
        <f>'Wrksht. I, CWIP AFUDC Cre. EKS'!I82</f>
        <v>0</v>
      </c>
      <c r="E91" s="542" t="str">
        <f>'Wrksht. H, CWIP Desc. EKS'!E81</f>
        <v>PC</v>
      </c>
      <c r="F91" s="541"/>
      <c r="G91" s="546">
        <f t="shared" si="7"/>
        <v>0</v>
      </c>
      <c r="H91" s="546">
        <v>0</v>
      </c>
      <c r="I91" s="544"/>
      <c r="J91" s="545" t="str">
        <f>'Wrksht. H, CWIP Desc. EKS'!F81</f>
        <v>LACYGNE ENVIRONMENTAL UPGRADE</v>
      </c>
    </row>
    <row r="92" spans="1:10">
      <c r="A92" s="619">
        <f t="shared" si="6"/>
        <v>72</v>
      </c>
      <c r="B92" s="539" t="str">
        <f>'Wrksht. H, CWIP Desc. EKS'!B82</f>
        <v>1070002</v>
      </c>
      <c r="C92" s="540" t="str">
        <f>'Wrksht. H, CWIP Desc. EKS'!C82</f>
        <v xml:space="preserve"> 7003205</v>
      </c>
      <c r="D92" s="546">
        <f>'Wrksht. I, CWIP AFUDC Cre. EKS'!I83</f>
        <v>0</v>
      </c>
      <c r="E92" s="542" t="str">
        <f>'Wrksht. H, CWIP Desc. EKS'!E82</f>
        <v>PC</v>
      </c>
      <c r="F92" s="541"/>
      <c r="G92" s="546">
        <f t="shared" si="7"/>
        <v>0</v>
      </c>
      <c r="H92" s="546">
        <v>0</v>
      </c>
      <c r="I92" s="544"/>
      <c r="J92" s="545" t="str">
        <f>'Wrksht. H, CWIP Desc. EKS'!F82</f>
        <v>AQCS LO PRJ MGMT 7 ADMIN</v>
      </c>
    </row>
    <row r="93" spans="1:10">
      <c r="A93" s="619">
        <f t="shared" si="6"/>
        <v>73</v>
      </c>
      <c r="B93" s="539" t="str">
        <f>'Wrksht. H, CWIP Desc. EKS'!B83</f>
        <v>1070002</v>
      </c>
      <c r="C93" s="540" t="str">
        <f>'Wrksht. H, CWIP Desc. EKS'!C83</f>
        <v xml:space="preserve"> 7003206</v>
      </c>
      <c r="D93" s="546">
        <f>'Wrksht. I, CWIP AFUDC Cre. EKS'!I84</f>
        <v>0</v>
      </c>
      <c r="E93" s="542" t="str">
        <f>'Wrksht. H, CWIP Desc. EKS'!E83</f>
        <v>O</v>
      </c>
      <c r="F93" s="541"/>
      <c r="G93" s="546">
        <f t="shared" si="7"/>
        <v>0</v>
      </c>
      <c r="H93" s="546">
        <f t="shared" si="5"/>
        <v>0</v>
      </c>
      <c r="I93" s="544"/>
      <c r="J93" s="545" t="str">
        <f>'Wrksht. H, CWIP Desc. EKS'!F83</f>
        <v>LACYGNE SITE PREPARATION</v>
      </c>
    </row>
    <row r="94" spans="1:10">
      <c r="A94" s="619">
        <f t="shared" si="6"/>
        <v>74</v>
      </c>
      <c r="B94" s="539" t="str">
        <f>'Wrksht. H, CWIP Desc. EKS'!B84</f>
        <v>1070002</v>
      </c>
      <c r="C94" s="540" t="str">
        <f>'Wrksht. H, CWIP Desc. EKS'!C84</f>
        <v xml:space="preserve"> 7003208</v>
      </c>
      <c r="D94" s="546">
        <f>'Wrksht. I, CWIP AFUDC Cre. EKS'!I85</f>
        <v>0</v>
      </c>
      <c r="E94" s="542" t="str">
        <f>'Wrksht. H, CWIP Desc. EKS'!E84</f>
        <v>O</v>
      </c>
      <c r="F94" s="541"/>
      <c r="G94" s="546">
        <f t="shared" si="7"/>
        <v>0</v>
      </c>
      <c r="H94" s="546">
        <f t="shared" si="5"/>
        <v>0</v>
      </c>
      <c r="I94" s="544"/>
      <c r="J94" s="545" t="str">
        <f>'Wrksht. H, CWIP Desc. EKS'!F84</f>
        <v>WAREHOUSE REPLACEMENT</v>
      </c>
    </row>
    <row r="95" spans="1:10">
      <c r="A95" s="618">
        <f t="shared" si="6"/>
        <v>75</v>
      </c>
      <c r="B95" s="539" t="str">
        <f>'Wrksht. H, CWIP Desc. EKS'!B85</f>
        <v>1070002</v>
      </c>
      <c r="C95" s="540" t="str">
        <f>'Wrksht. H, CWIP Desc. EKS'!C85</f>
        <v xml:space="preserve"> 7009195</v>
      </c>
      <c r="D95" s="546">
        <f>'Wrksht. I, CWIP AFUDC Cre. EKS'!I86</f>
        <v>0</v>
      </c>
      <c r="E95" s="542" t="str">
        <f>'Wrksht. H, CWIP Desc. EKS'!E85</f>
        <v>O</v>
      </c>
      <c r="F95" s="541"/>
      <c r="G95" s="546">
        <f t="shared" si="7"/>
        <v>0</v>
      </c>
      <c r="H95" s="546">
        <f t="shared" si="5"/>
        <v>0</v>
      </c>
      <c r="I95" s="544"/>
      <c r="J95" s="545" t="str">
        <f>'Wrksht. H, CWIP Desc. EKS'!F85</f>
        <v>N CASCADE DUST CLTR CREW CONVEYOR</v>
      </c>
    </row>
    <row r="96" spans="1:10">
      <c r="A96" s="618">
        <f t="shared" si="6"/>
        <v>76</v>
      </c>
      <c r="B96" s="539" t="str">
        <f>'Wrksht. H, CWIP Desc. EKS'!B86</f>
        <v>1070002</v>
      </c>
      <c r="C96" s="540" t="str">
        <f>'Wrksht. H, CWIP Desc. EKS'!C86</f>
        <v xml:space="preserve"> 7009236</v>
      </c>
      <c r="D96" s="546">
        <f>'Wrksht. I, CWIP AFUDC Cre. EKS'!I87</f>
        <v>0</v>
      </c>
      <c r="E96" s="542" t="str">
        <f>'Wrksht. H, CWIP Desc. EKS'!E86</f>
        <v>O</v>
      </c>
      <c r="F96" s="541"/>
      <c r="G96" s="546">
        <f t="shared" si="7"/>
        <v>0</v>
      </c>
      <c r="H96" s="546">
        <f t="shared" si="5"/>
        <v>0</v>
      </c>
      <c r="I96" s="544"/>
      <c r="J96" s="545" t="str">
        <f>'Wrksht. H, CWIP Desc. EKS'!F86</f>
        <v>SOFTWARE FOR LC COMMON</v>
      </c>
    </row>
    <row r="97" spans="1:10">
      <c r="A97" s="618">
        <f t="shared" si="6"/>
        <v>77</v>
      </c>
      <c r="B97" s="539" t="str">
        <f>'Wrksht. H, CWIP Desc. EKS'!B87</f>
        <v>1070002</v>
      </c>
      <c r="C97" s="540" t="str">
        <f>'Wrksht. H, CWIP Desc. EKS'!C87</f>
        <v xml:space="preserve"> 7009244</v>
      </c>
      <c r="D97" s="546">
        <f>'Wrksht. I, CWIP AFUDC Cre. EKS'!I88</f>
        <v>0</v>
      </c>
      <c r="E97" s="542" t="str">
        <f>'Wrksht. H, CWIP Desc. EKS'!E87</f>
        <v>O</v>
      </c>
      <c r="F97" s="541"/>
      <c r="G97" s="546">
        <f t="shared" si="7"/>
        <v>0</v>
      </c>
      <c r="H97" s="546">
        <f t="shared" si="5"/>
        <v>0</v>
      </c>
      <c r="I97" s="544"/>
      <c r="J97" s="545" t="str">
        <f>'Wrksht. H, CWIP Desc. EKS'!F87</f>
        <v>CONVEYOR GUARDS</v>
      </c>
    </row>
    <row r="98" spans="1:10">
      <c r="A98" s="618">
        <f t="shared" si="6"/>
        <v>78</v>
      </c>
      <c r="B98" s="539" t="str">
        <f>'Wrksht. H, CWIP Desc. EKS'!B88</f>
        <v>1070002</v>
      </c>
      <c r="C98" s="540" t="str">
        <f>'Wrksht. H, CWIP Desc. EKS'!C88</f>
        <v xml:space="preserve"> 7009272</v>
      </c>
      <c r="D98" s="546">
        <f>'Wrksht. I, CWIP AFUDC Cre. EKS'!I89</f>
        <v>0</v>
      </c>
      <c r="E98" s="542" t="str">
        <f>'Wrksht. H, CWIP Desc. EKS'!E88</f>
        <v>O</v>
      </c>
      <c r="F98" s="541"/>
      <c r="G98" s="546">
        <f t="shared" si="7"/>
        <v>0</v>
      </c>
      <c r="H98" s="546">
        <f t="shared" si="5"/>
        <v>0</v>
      </c>
      <c r="I98" s="544"/>
      <c r="J98" s="545" t="str">
        <f>'Wrksht. H, CWIP Desc. EKS'!F88</f>
        <v>CONV 8, 9 PLUS 2A AG BELT REPLACEMENT</v>
      </c>
    </row>
    <row r="99" spans="1:10">
      <c r="A99" s="618">
        <f t="shared" si="6"/>
        <v>79</v>
      </c>
      <c r="B99" s="539" t="str">
        <f>'Wrksht. H, CWIP Desc. EKS'!B89</f>
        <v>1070002</v>
      </c>
      <c r="C99" s="540" t="str">
        <f>'Wrksht. H, CWIP Desc. EKS'!C89</f>
        <v xml:space="preserve"> 7009274</v>
      </c>
      <c r="D99" s="546">
        <f>'Wrksht. I, CWIP AFUDC Cre. EKS'!I90</f>
        <v>0</v>
      </c>
      <c r="E99" s="542" t="str">
        <f>'Wrksht. H, CWIP Desc. EKS'!E89</f>
        <v>O</v>
      </c>
      <c r="F99" s="541"/>
      <c r="G99" s="546">
        <f t="shared" si="7"/>
        <v>0</v>
      </c>
      <c r="H99" s="546">
        <f t="shared" si="5"/>
        <v>0</v>
      </c>
      <c r="I99" s="544"/>
      <c r="J99" s="545" t="str">
        <f>'Wrksht. H, CWIP Desc. EKS'!F89</f>
        <v>LACYGNE MISC TOOLS - 2008</v>
      </c>
    </row>
    <row r="100" spans="1:10">
      <c r="A100" s="618">
        <f t="shared" si="6"/>
        <v>80</v>
      </c>
      <c r="B100" s="539" t="str">
        <f>'Wrksht. H, CWIP Desc. EKS'!B90</f>
        <v>1070002</v>
      </c>
      <c r="C100" s="540" t="str">
        <f>'Wrksht. H, CWIP Desc. EKS'!C90</f>
        <v xml:space="preserve"> 7009277</v>
      </c>
      <c r="D100" s="546">
        <f>'Wrksht. I, CWIP AFUDC Cre. EKS'!I91</f>
        <v>0</v>
      </c>
      <c r="E100" s="542" t="str">
        <f>'Wrksht. H, CWIP Desc. EKS'!E90</f>
        <v>PC</v>
      </c>
      <c r="F100" s="541"/>
      <c r="G100" s="546">
        <f t="shared" si="7"/>
        <v>0</v>
      </c>
      <c r="H100" s="546">
        <v>0</v>
      </c>
      <c r="I100" s="544"/>
      <c r="J100" s="545" t="str">
        <f>'Wrksht. H, CWIP Desc. EKS'!F90</f>
        <v>DUST COLLECTOR BAGS REPLACEMENT</v>
      </c>
    </row>
    <row r="101" spans="1:10">
      <c r="A101" s="618">
        <f>+A100+1</f>
        <v>81</v>
      </c>
      <c r="B101" s="539" t="str">
        <f>'Wrksht. H, CWIP Desc. EKS'!B91</f>
        <v>1070002</v>
      </c>
      <c r="C101" s="1135" t="str">
        <f>'Wrksht. H, CWIP Desc. EKS'!C91</f>
        <v xml:space="preserve"> 7009286</v>
      </c>
      <c r="D101" s="546">
        <f>'Wrksht. I, CWIP AFUDC Cre. EKS'!I92</f>
        <v>0</v>
      </c>
      <c r="E101" s="542" t="str">
        <f>'Wrksht. H, CWIP Desc. EKS'!E91</f>
        <v>O</v>
      </c>
      <c r="F101" s="541"/>
      <c r="G101" s="546">
        <f>IF(H101=0,D101,0)</f>
        <v>0</v>
      </c>
      <c r="H101" s="546">
        <f t="shared" ref="H101:H166" si="8">D101*0.5</f>
        <v>0</v>
      </c>
      <c r="I101" s="544"/>
      <c r="J101" s="545" t="str">
        <f>'Wrksht. H, CWIP Desc. EKS'!F91</f>
        <v>REPLACE 7KV BREAKERS</v>
      </c>
    </row>
    <row r="102" spans="1:10">
      <c r="A102" s="618">
        <f t="shared" ref="A102:A152" si="9">A101+1</f>
        <v>82</v>
      </c>
      <c r="B102" s="539" t="str">
        <f>'Wrksht. H, CWIP Desc. EKS'!B92</f>
        <v>1070002</v>
      </c>
      <c r="C102" s="540" t="str">
        <f>'Wrksht. H, CWIP Desc. EKS'!C92</f>
        <v xml:space="preserve"> 7009287</v>
      </c>
      <c r="D102" s="546">
        <f>'Wrksht. I, CWIP AFUDC Cre. EKS'!I93</f>
        <v>0</v>
      </c>
      <c r="E102" s="542" t="str">
        <f>'Wrksht. H, CWIP Desc. EKS'!E92</f>
        <v>O</v>
      </c>
      <c r="F102" s="541"/>
      <c r="G102" s="546">
        <f t="shared" ref="G102:G166" si="10">IF(H102=0,D102,0)</f>
        <v>0</v>
      </c>
      <c r="H102" s="546">
        <f t="shared" si="8"/>
        <v>0</v>
      </c>
      <c r="I102" s="544"/>
      <c r="J102" s="545" t="str">
        <f>'Wrksht. H, CWIP Desc. EKS'!F92</f>
        <v>480V BREAKERS REPLACEMENT</v>
      </c>
    </row>
    <row r="103" spans="1:10">
      <c r="A103" s="618">
        <f t="shared" si="9"/>
        <v>83</v>
      </c>
      <c r="B103" s="539" t="str">
        <f>'Wrksht. H, CWIP Desc. EKS'!B93</f>
        <v>1070002</v>
      </c>
      <c r="C103" s="540" t="str">
        <f>'Wrksht. H, CWIP Desc. EKS'!C93</f>
        <v xml:space="preserve"> 7009313</v>
      </c>
      <c r="D103" s="546">
        <f>'Wrksht. I, CWIP AFUDC Cre. EKS'!I94</f>
        <v>0</v>
      </c>
      <c r="E103" s="542" t="str">
        <f>'Wrksht. H, CWIP Desc. EKS'!E93</f>
        <v>O</v>
      </c>
      <c r="F103" s="541"/>
      <c r="G103" s="546">
        <f t="shared" si="10"/>
        <v>0</v>
      </c>
      <c r="H103" s="546">
        <f t="shared" si="8"/>
        <v>0</v>
      </c>
      <c r="I103" s="544"/>
      <c r="J103" s="545" t="str">
        <f>'Wrksht. H, CWIP Desc. EKS'!F93</f>
        <v>DIESEL FIRE PUMP ENGINE REPLACEMENT</v>
      </c>
    </row>
    <row r="104" spans="1:10">
      <c r="A104" s="618">
        <f t="shared" si="9"/>
        <v>84</v>
      </c>
      <c r="B104" s="539" t="str">
        <f>'Wrksht. H, CWIP Desc. EKS'!B94</f>
        <v>1070002</v>
      </c>
      <c r="C104" s="540" t="str">
        <f>'Wrksht. H, CWIP Desc. EKS'!C94</f>
        <v xml:space="preserve"> 7009321</v>
      </c>
      <c r="D104" s="546">
        <f>'Wrksht. I, CWIP AFUDC Cre. EKS'!I95</f>
        <v>0</v>
      </c>
      <c r="E104" s="542" t="str">
        <f>'Wrksht. H, CWIP Desc. EKS'!E94</f>
        <v>O</v>
      </c>
      <c r="F104" s="541"/>
      <c r="G104" s="546">
        <f t="shared" si="10"/>
        <v>0</v>
      </c>
      <c r="H104" s="546">
        <f t="shared" si="8"/>
        <v>0</v>
      </c>
      <c r="I104" s="544"/>
      <c r="J104" s="545" t="str">
        <f>'Wrksht. H, CWIP Desc. EKS'!F94</f>
        <v>ECONOMIZER OUTLET EXP JT</v>
      </c>
    </row>
    <row r="105" spans="1:10">
      <c r="A105" s="618">
        <f t="shared" si="9"/>
        <v>85</v>
      </c>
      <c r="B105" s="539" t="str">
        <f>'Wrksht. H, CWIP Desc. EKS'!B95</f>
        <v>1070002</v>
      </c>
      <c r="C105" s="540" t="str">
        <f>'Wrksht. H, CWIP Desc. EKS'!C95</f>
        <v xml:space="preserve"> 7009324</v>
      </c>
      <c r="D105" s="546">
        <f>'Wrksht. I, CWIP AFUDC Cre. EKS'!I96</f>
        <v>0</v>
      </c>
      <c r="E105" s="542" t="str">
        <f>'Wrksht. H, CWIP Desc. EKS'!E95</f>
        <v>PC</v>
      </c>
      <c r="F105" s="541"/>
      <c r="G105" s="546">
        <f t="shared" si="10"/>
        <v>0</v>
      </c>
      <c r="H105" s="546">
        <v>0</v>
      </c>
      <c r="I105" s="544"/>
      <c r="J105" s="545" t="str">
        <f>'Wrksht. H, CWIP Desc. EKS'!F95</f>
        <v>DUST COLLECTOR FIRE PROT ADD</v>
      </c>
    </row>
    <row r="106" spans="1:10">
      <c r="A106" s="618">
        <f t="shared" si="9"/>
        <v>86</v>
      </c>
      <c r="B106" s="539" t="str">
        <f>'Wrksht. H, CWIP Desc. EKS'!B96</f>
        <v>1070002</v>
      </c>
      <c r="C106" s="540" t="str">
        <f>'Wrksht. H, CWIP Desc. EKS'!C96</f>
        <v xml:space="preserve"> 7081001</v>
      </c>
      <c r="D106" s="546">
        <f>'Wrksht. I, CWIP AFUDC Cre. EKS'!I97</f>
        <v>0</v>
      </c>
      <c r="E106" s="542" t="str">
        <f>'Wrksht. H, CWIP Desc. EKS'!E96</f>
        <v>O</v>
      </c>
      <c r="F106" s="541"/>
      <c r="G106" s="546">
        <f t="shared" si="10"/>
        <v>0</v>
      </c>
      <c r="H106" s="546">
        <f t="shared" si="8"/>
        <v>0</v>
      </c>
      <c r="I106" s="544"/>
      <c r="J106" s="545" t="str">
        <f>'Wrksht. H, CWIP Desc. EKS'!F96</f>
        <v>INSTALL SWITCHES AT LACYGNE</v>
      </c>
    </row>
    <row r="107" spans="1:10">
      <c r="A107" s="619">
        <f t="shared" si="9"/>
        <v>87</v>
      </c>
      <c r="B107" s="539" t="str">
        <f>'Wrksht. H, CWIP Desc. EKS'!B97</f>
        <v>1070002</v>
      </c>
      <c r="C107" s="540" t="str">
        <f>'Wrksht. H, CWIP Desc. EKS'!C97</f>
        <v xml:space="preserve"> 7081745</v>
      </c>
      <c r="D107" s="546">
        <f>'Wrksht. I, CWIP AFUDC Cre. EKS'!I98</f>
        <v>0</v>
      </c>
      <c r="E107" s="542" t="str">
        <f>'Wrksht. H, CWIP Desc. EKS'!E97</f>
        <v>O</v>
      </c>
      <c r="F107" s="541"/>
      <c r="G107" s="546">
        <f t="shared" si="10"/>
        <v>0</v>
      </c>
      <c r="H107" s="546">
        <f t="shared" si="8"/>
        <v>0</v>
      </c>
      <c r="I107" s="544"/>
      <c r="J107" s="545" t="str">
        <f>'Wrksht. H, CWIP Desc. EKS'!F97</f>
        <v>REPLACE PHONE CABLE WITH FIBER OPTIC</v>
      </c>
    </row>
    <row r="108" spans="1:10">
      <c r="A108" s="618">
        <f t="shared" si="9"/>
        <v>88</v>
      </c>
      <c r="B108" s="539" t="str">
        <f>'Wrksht. H, CWIP Desc. EKS'!B98</f>
        <v>1070002</v>
      </c>
      <c r="C108" s="540" t="str">
        <f>'Wrksht. H, CWIP Desc. EKS'!C98</f>
        <v xml:space="preserve"> 7100025</v>
      </c>
      <c r="D108" s="546">
        <f>'Wrksht. I, CWIP AFUDC Cre. EKS'!I99</f>
        <v>0</v>
      </c>
      <c r="E108" s="542" t="str">
        <f>'Wrksht. H, CWIP Desc. EKS'!E98</f>
        <v>PC</v>
      </c>
      <c r="F108" s="541"/>
      <c r="G108" s="546">
        <f t="shared" si="10"/>
        <v>0</v>
      </c>
      <c r="H108" s="546">
        <v>0</v>
      </c>
      <c r="I108" s="544"/>
      <c r="J108" s="545" t="str">
        <f>'Wrksht. H, CWIP Desc. EKS'!F98</f>
        <v>LAEC1 SCR RETENTION</v>
      </c>
    </row>
    <row r="109" spans="1:10">
      <c r="A109" s="619">
        <f t="shared" si="9"/>
        <v>89</v>
      </c>
      <c r="B109" s="539" t="str">
        <f>'Wrksht. H, CWIP Desc. EKS'!B99</f>
        <v>1070002</v>
      </c>
      <c r="C109" s="540" t="str">
        <f>'Wrksht. H, CWIP Desc. EKS'!C99</f>
        <v xml:space="preserve"> 7100026</v>
      </c>
      <c r="D109" s="546">
        <f>'Wrksht. I, CWIP AFUDC Cre. EKS'!I100</f>
        <v>0</v>
      </c>
      <c r="E109" s="542" t="str">
        <f>'Wrksht. H, CWIP Desc. EKS'!E99</f>
        <v>PC</v>
      </c>
      <c r="F109" s="541"/>
      <c r="G109" s="546">
        <f t="shared" si="10"/>
        <v>0</v>
      </c>
      <c r="H109" s="546">
        <v>0</v>
      </c>
      <c r="I109" s="544"/>
      <c r="J109" s="545" t="str">
        <f>'Wrksht. H, CWIP Desc. EKS'!F99</f>
        <v>L1 AQC ACCRUALS</v>
      </c>
    </row>
    <row r="110" spans="1:10">
      <c r="A110" s="619">
        <f t="shared" si="9"/>
        <v>90</v>
      </c>
      <c r="B110" s="539" t="str">
        <f>'Wrksht. H, CWIP Desc. EKS'!B100</f>
        <v>1070002</v>
      </c>
      <c r="C110" s="540" t="str">
        <f>'Wrksht. H, CWIP Desc. EKS'!C100</f>
        <v xml:space="preserve"> 7103090</v>
      </c>
      <c r="D110" s="546">
        <f>'Wrksht. I, CWIP AFUDC Cre. EKS'!I101</f>
        <v>0</v>
      </c>
      <c r="E110" s="542" t="str">
        <f>'Wrksht. H, CWIP Desc. EKS'!E100</f>
        <v>PC</v>
      </c>
      <c r="F110" s="541"/>
      <c r="G110" s="546">
        <f t="shared" si="10"/>
        <v>0</v>
      </c>
      <c r="H110" s="546">
        <v>0</v>
      </c>
      <c r="I110" s="544"/>
      <c r="J110" s="545" t="str">
        <f>'Wrksht. H, CWIP Desc. EKS'!F100</f>
        <v>LAEC1 AQC HYDROCONE REPLACE</v>
      </c>
    </row>
    <row r="111" spans="1:10">
      <c r="A111" s="619">
        <f t="shared" si="9"/>
        <v>91</v>
      </c>
      <c r="B111" s="539" t="str">
        <f>'Wrksht. H, CWIP Desc. EKS'!B101</f>
        <v>1070002</v>
      </c>
      <c r="C111" s="540" t="str">
        <f>'Wrksht. H, CWIP Desc. EKS'!C101</f>
        <v xml:space="preserve"> 7103177</v>
      </c>
      <c r="D111" s="546">
        <f>'Wrksht. I, CWIP AFUDC Cre. EKS'!I102</f>
        <v>0</v>
      </c>
      <c r="E111" s="542" t="str">
        <f>'Wrksht. H, CWIP Desc. EKS'!E101</f>
        <v>O</v>
      </c>
      <c r="F111" s="541"/>
      <c r="G111" s="546">
        <f t="shared" si="10"/>
        <v>0</v>
      </c>
      <c r="H111" s="546">
        <f t="shared" si="8"/>
        <v>0</v>
      </c>
      <c r="I111" s="544"/>
      <c r="J111" s="545" t="str">
        <f>'Wrksht. H, CWIP Desc. EKS'!F101</f>
        <v>7KV AND 480V BREAKERS</v>
      </c>
    </row>
    <row r="112" spans="1:10">
      <c r="A112" s="619">
        <f t="shared" si="9"/>
        <v>92</v>
      </c>
      <c r="B112" s="539" t="str">
        <f>'Wrksht. H, CWIP Desc. EKS'!B102</f>
        <v>1070002</v>
      </c>
      <c r="C112" s="540" t="str">
        <f>'Wrksht. H, CWIP Desc. EKS'!C102</f>
        <v xml:space="preserve"> 7103186</v>
      </c>
      <c r="D112" s="546">
        <f>'Wrksht. I, CWIP AFUDC Cre. EKS'!I103</f>
        <v>0</v>
      </c>
      <c r="E112" s="542" t="str">
        <f>'Wrksht. H, CWIP Desc. EKS'!E102</f>
        <v>PC</v>
      </c>
      <c r="F112" s="541"/>
      <c r="G112" s="546">
        <f t="shared" si="10"/>
        <v>0</v>
      </c>
      <c r="H112" s="546">
        <v>0</v>
      </c>
      <c r="I112" s="544"/>
      <c r="J112" s="545" t="str">
        <f>'Wrksht. H, CWIP Desc. EKS'!F102</f>
        <v>LAEC1 FGD &amp; BAGHOUSE</v>
      </c>
    </row>
    <row r="113" spans="1:10">
      <c r="A113" s="618">
        <f t="shared" si="9"/>
        <v>93</v>
      </c>
      <c r="B113" s="539" t="str">
        <f>'Wrksht. H, CWIP Desc. EKS'!B103</f>
        <v>1070002</v>
      </c>
      <c r="C113" s="540" t="str">
        <f>'Wrksht. H, CWIP Desc. EKS'!C103</f>
        <v xml:space="preserve"> 7103194</v>
      </c>
      <c r="D113" s="546">
        <f>'Wrksht. I, CWIP AFUDC Cre. EKS'!I104</f>
        <v>0</v>
      </c>
      <c r="E113" s="542" t="str">
        <f>'Wrksht. H, CWIP Desc. EKS'!E103</f>
        <v>O</v>
      </c>
      <c r="F113" s="541"/>
      <c r="G113" s="546">
        <f t="shared" si="10"/>
        <v>0</v>
      </c>
      <c r="H113" s="546">
        <f t="shared" si="8"/>
        <v>0</v>
      </c>
      <c r="I113" s="544"/>
      <c r="J113" s="545" t="str">
        <f>'Wrksht. H, CWIP Desc. EKS'!F103</f>
        <v>L1 HOT REHEAT STEAM LINE REPLACEMENT</v>
      </c>
    </row>
    <row r="114" spans="1:10">
      <c r="A114" s="619">
        <f t="shared" si="9"/>
        <v>94</v>
      </c>
      <c r="B114" s="539" t="str">
        <f>'Wrksht. H, CWIP Desc. EKS'!B104</f>
        <v>1070002</v>
      </c>
      <c r="C114" s="540" t="str">
        <f>'Wrksht. H, CWIP Desc. EKS'!C104</f>
        <v xml:space="preserve"> 7103195</v>
      </c>
      <c r="D114" s="546">
        <f>'Wrksht. I, CWIP AFUDC Cre. EKS'!I105</f>
        <v>0</v>
      </c>
      <c r="E114" s="542" t="str">
        <f>'Wrksht. H, CWIP Desc. EKS'!E104</f>
        <v>O</v>
      </c>
      <c r="F114" s="541"/>
      <c r="G114" s="546">
        <f t="shared" si="10"/>
        <v>0</v>
      </c>
      <c r="H114" s="546">
        <f t="shared" si="8"/>
        <v>0</v>
      </c>
      <c r="I114" s="544"/>
      <c r="J114" s="545" t="str">
        <f>'Wrksht. H, CWIP Desc. EKS'!F104</f>
        <v>CYCLONE REPLACEMENT</v>
      </c>
    </row>
    <row r="115" spans="1:10">
      <c r="A115" s="618">
        <f t="shared" si="9"/>
        <v>95</v>
      </c>
      <c r="B115" s="539" t="str">
        <f>'Wrksht. H, CWIP Desc. EKS'!B105</f>
        <v>1070002</v>
      </c>
      <c r="C115" s="540" t="str">
        <f>'Wrksht. H, CWIP Desc. EKS'!C105</f>
        <v xml:space="preserve"> 7103196</v>
      </c>
      <c r="D115" s="546">
        <f>'Wrksht. I, CWIP AFUDC Cre. EKS'!I106</f>
        <v>0</v>
      </c>
      <c r="E115" s="542" t="str">
        <f>'Wrksht. H, CWIP Desc. EKS'!E105</f>
        <v>O</v>
      </c>
      <c r="F115" s="541"/>
      <c r="G115" s="546">
        <f t="shared" si="10"/>
        <v>0</v>
      </c>
      <c r="H115" s="546">
        <f t="shared" si="8"/>
        <v>0</v>
      </c>
      <c r="I115" s="544"/>
      <c r="J115" s="545" t="str">
        <f>'Wrksht. H, CWIP Desc. EKS'!F105</f>
        <v>PIPE HANGER REPLACEMENT</v>
      </c>
    </row>
    <row r="116" spans="1:10">
      <c r="A116" s="619">
        <f t="shared" si="9"/>
        <v>96</v>
      </c>
      <c r="B116" s="539" t="str">
        <f>'Wrksht. H, CWIP Desc. EKS'!B106</f>
        <v>1070002</v>
      </c>
      <c r="C116" s="540" t="str">
        <f>'Wrksht. H, CWIP Desc. EKS'!C106</f>
        <v xml:space="preserve"> 7103199</v>
      </c>
      <c r="D116" s="546">
        <f>'Wrksht. I, CWIP AFUDC Cre. EKS'!I107</f>
        <v>0</v>
      </c>
      <c r="E116" s="542" t="str">
        <f>'Wrksht. H, CWIP Desc. EKS'!E106</f>
        <v>O</v>
      </c>
      <c r="F116" s="541"/>
      <c r="G116" s="546">
        <f t="shared" si="10"/>
        <v>0</v>
      </c>
      <c r="H116" s="546">
        <f t="shared" si="8"/>
        <v>0</v>
      </c>
      <c r="I116" s="544"/>
      <c r="J116" s="545" t="str">
        <f>'Wrksht. H, CWIP Desc. EKS'!F106</f>
        <v>FURNACE WALL AND FLOOR REPLACEMENT</v>
      </c>
    </row>
    <row r="117" spans="1:10">
      <c r="A117" s="619">
        <f t="shared" si="9"/>
        <v>97</v>
      </c>
      <c r="B117" s="539" t="str">
        <f>'Wrksht. H, CWIP Desc. EKS'!B107</f>
        <v>1070002</v>
      </c>
      <c r="C117" s="540" t="str">
        <f>'Wrksht. H, CWIP Desc. EKS'!C107</f>
        <v xml:space="preserve"> 7103201</v>
      </c>
      <c r="D117" s="546">
        <f>'Wrksht. I, CWIP AFUDC Cre. EKS'!I108</f>
        <v>0</v>
      </c>
      <c r="E117" s="542" t="str">
        <f>'Wrksht. H, CWIP Desc. EKS'!E107</f>
        <v>O</v>
      </c>
      <c r="F117" s="541"/>
      <c r="G117" s="546">
        <f t="shared" si="10"/>
        <v>0</v>
      </c>
      <c r="H117" s="546">
        <f t="shared" si="8"/>
        <v>0</v>
      </c>
      <c r="I117" s="544"/>
      <c r="J117" s="545" t="str">
        <f>'Wrksht. H, CWIP Desc. EKS'!F107</f>
        <v>REHEATER/SUPERHEATER REPLACEMENT</v>
      </c>
    </row>
    <row r="118" spans="1:10">
      <c r="A118" s="619">
        <f t="shared" si="9"/>
        <v>98</v>
      </c>
      <c r="B118" s="539" t="str">
        <f>'Wrksht. H, CWIP Desc. EKS'!B108</f>
        <v>1070002</v>
      </c>
      <c r="C118" s="540" t="str">
        <f>'Wrksht. H, CWIP Desc. EKS'!C108</f>
        <v xml:space="preserve"> 7103202</v>
      </c>
      <c r="D118" s="546">
        <f>'Wrksht. I, CWIP AFUDC Cre. EKS'!I109</f>
        <v>0</v>
      </c>
      <c r="E118" s="542" t="str">
        <f>'Wrksht. H, CWIP Desc. EKS'!E108</f>
        <v>PC</v>
      </c>
      <c r="F118" s="541"/>
      <c r="G118" s="546">
        <f t="shared" si="10"/>
        <v>0</v>
      </c>
      <c r="H118" s="546">
        <v>0</v>
      </c>
      <c r="I118" s="544"/>
      <c r="J118" s="545" t="str">
        <f>'Wrksht. H, CWIP Desc. EKS'!F108</f>
        <v>AQCS PROJ MGT &amp; ADMIN</v>
      </c>
    </row>
    <row r="119" spans="1:10">
      <c r="A119" s="618">
        <f t="shared" si="9"/>
        <v>99</v>
      </c>
      <c r="B119" s="539" t="str">
        <f>'Wrksht. H, CWIP Desc. EKS'!B109</f>
        <v>1070002</v>
      </c>
      <c r="C119" s="540" t="str">
        <f>'Wrksht. H, CWIP Desc. EKS'!C109</f>
        <v xml:space="preserve"> 7103209</v>
      </c>
      <c r="D119" s="546">
        <f>'Wrksht. I, CWIP AFUDC Cre. EKS'!I110</f>
        <v>0</v>
      </c>
      <c r="E119" s="542" t="str">
        <f>'Wrksht. H, CWIP Desc. EKS'!E109</f>
        <v>PC</v>
      </c>
      <c r="F119" s="541"/>
      <c r="G119" s="546">
        <f t="shared" si="10"/>
        <v>0</v>
      </c>
      <c r="H119" s="546">
        <v>0</v>
      </c>
      <c r="I119" s="544"/>
      <c r="J119" s="545" t="str">
        <f>'Wrksht. H, CWIP Desc. EKS'!F109</f>
        <v>L1 GAS RECIRCULATION</v>
      </c>
    </row>
    <row r="120" spans="1:10">
      <c r="A120" s="619">
        <f t="shared" si="9"/>
        <v>100</v>
      </c>
      <c r="B120" s="539" t="str">
        <f>'Wrksht. H, CWIP Desc. EKS'!B110</f>
        <v>1070002</v>
      </c>
      <c r="C120" s="540" t="str">
        <f>'Wrksht. H, CWIP Desc. EKS'!C110</f>
        <v xml:space="preserve"> 7103210</v>
      </c>
      <c r="D120" s="546">
        <f>'Wrksht. I, CWIP AFUDC Cre. EKS'!I111</f>
        <v>0</v>
      </c>
      <c r="E120" s="542" t="str">
        <f>'Wrksht. H, CWIP Desc. EKS'!E110</f>
        <v>O</v>
      </c>
      <c r="F120" s="541"/>
      <c r="G120" s="546">
        <f t="shared" si="10"/>
        <v>0</v>
      </c>
      <c r="H120" s="546">
        <f t="shared" si="8"/>
        <v>0</v>
      </c>
      <c r="I120" s="544"/>
      <c r="J120" s="545" t="str">
        <f>'Wrksht. H, CWIP Desc. EKS'!F110</f>
        <v>OSHA REQUIRED SAFETY GATES</v>
      </c>
    </row>
    <row r="121" spans="1:10" ht="20.399999999999999">
      <c r="A121" s="1740" t="s">
        <v>2998</v>
      </c>
      <c r="B121" s="1740"/>
      <c r="C121" s="1741"/>
      <c r="D121" s="1741"/>
      <c r="E121" s="1741"/>
      <c r="F121" s="1741"/>
      <c r="G121" s="1741"/>
      <c r="H121" s="1741"/>
      <c r="I121" s="1741"/>
      <c r="J121" s="1741"/>
    </row>
    <row r="122" spans="1:10" ht="19.2">
      <c r="A122" s="1742" t="str">
        <f>A2</f>
        <v>For Contract Year Beginning June 1, 2024, Based on 2023 Data</v>
      </c>
      <c r="B122" s="1742"/>
      <c r="C122" s="1743"/>
      <c r="D122" s="1743"/>
      <c r="E122" s="1743"/>
      <c r="F122" s="1743"/>
      <c r="G122" s="1743"/>
      <c r="H122" s="1743"/>
      <c r="I122" s="1743"/>
      <c r="J122" s="1743"/>
    </row>
    <row r="123" spans="1:10">
      <c r="A123" s="485"/>
      <c r="B123" s="1278" t="s">
        <v>476</v>
      </c>
      <c r="C123" s="486"/>
      <c r="D123" s="486"/>
      <c r="E123" s="486"/>
      <c r="F123" s="486"/>
      <c r="G123" s="486"/>
      <c r="H123" s="487"/>
      <c r="I123" s="486"/>
      <c r="J123" s="486"/>
    </row>
    <row r="124" spans="1:10">
      <c r="A124" s="485"/>
      <c r="B124" s="485"/>
      <c r="C124" s="487"/>
      <c r="D124" s="763" t="s">
        <v>480</v>
      </c>
      <c r="E124" s="763" t="s">
        <v>481</v>
      </c>
      <c r="F124" s="763" t="s">
        <v>482</v>
      </c>
      <c r="G124" s="763" t="s">
        <v>483</v>
      </c>
      <c r="H124" s="763" t="s">
        <v>484</v>
      </c>
      <c r="I124" s="763" t="s">
        <v>884</v>
      </c>
      <c r="J124" s="763" t="s">
        <v>485</v>
      </c>
    </row>
    <row r="125" spans="1:10">
      <c r="A125" s="485"/>
      <c r="B125" s="485"/>
      <c r="C125" s="486"/>
      <c r="D125" s="764" t="s">
        <v>1545</v>
      </c>
      <c r="E125" s="765" t="s">
        <v>1578</v>
      </c>
      <c r="F125" s="766"/>
      <c r="G125" s="765">
        <v>1</v>
      </c>
      <c r="H125" s="765">
        <v>0.5</v>
      </c>
      <c r="I125" s="763" t="s">
        <v>468</v>
      </c>
      <c r="J125" s="764" t="s">
        <v>476</v>
      </c>
    </row>
    <row r="126" spans="1:10">
      <c r="A126" s="485"/>
      <c r="B126" s="485"/>
      <c r="C126" s="486"/>
      <c r="D126" s="764" t="s">
        <v>1568</v>
      </c>
      <c r="E126" s="763" t="s">
        <v>1583</v>
      </c>
      <c r="F126" s="763"/>
      <c r="G126" s="763" t="s">
        <v>116</v>
      </c>
      <c r="H126" s="763" t="s">
        <v>116</v>
      </c>
      <c r="I126" s="763" t="s">
        <v>1079</v>
      </c>
      <c r="J126" s="764" t="s">
        <v>15</v>
      </c>
    </row>
    <row r="127" spans="1:10">
      <c r="A127" s="485"/>
      <c r="B127" s="485"/>
      <c r="C127" s="486"/>
      <c r="D127" s="764" t="s">
        <v>1569</v>
      </c>
      <c r="E127" s="764" t="s">
        <v>221</v>
      </c>
      <c r="F127" s="763"/>
      <c r="G127" s="763" t="s">
        <v>1584</v>
      </c>
      <c r="H127" s="763" t="s">
        <v>1585</v>
      </c>
      <c r="I127" s="763" t="s">
        <v>299</v>
      </c>
      <c r="J127" s="764"/>
    </row>
    <row r="128" spans="1:10">
      <c r="A128" s="485"/>
      <c r="B128" s="485"/>
      <c r="C128" s="522"/>
      <c r="D128" s="763" t="s">
        <v>1949</v>
      </c>
      <c r="E128" s="764"/>
      <c r="F128" s="769"/>
      <c r="G128" s="511"/>
      <c r="H128" s="511"/>
      <c r="I128" s="770"/>
      <c r="J128" s="770"/>
    </row>
    <row r="129" spans="1:10">
      <c r="A129" s="485"/>
      <c r="B129" s="485"/>
      <c r="C129" s="522"/>
      <c r="D129" s="496"/>
      <c r="E129" s="497"/>
      <c r="F129" s="498"/>
      <c r="G129" s="767"/>
      <c r="H129" s="767"/>
      <c r="I129" s="486"/>
      <c r="J129" s="486"/>
    </row>
    <row r="130" spans="1:10">
      <c r="A130" s="499" t="s">
        <v>531</v>
      </c>
      <c r="B130" s="500" t="s">
        <v>1078</v>
      </c>
      <c r="C130" s="501" t="s">
        <v>1077</v>
      </c>
      <c r="D130" s="528"/>
      <c r="E130" s="528"/>
      <c r="F130" s="528"/>
      <c r="G130" s="528"/>
      <c r="H130" s="528"/>
      <c r="I130" s="508"/>
      <c r="J130" s="484"/>
    </row>
    <row r="131" spans="1:10">
      <c r="A131" s="619">
        <f>A120+1</f>
        <v>101</v>
      </c>
      <c r="B131" s="539" t="str">
        <f>'Wrksht. H, CWIP Desc. EKS'!B111</f>
        <v>1070002</v>
      </c>
      <c r="C131" s="540" t="str">
        <f>'Wrksht. H, CWIP Desc. EKS'!C111</f>
        <v xml:space="preserve"> 7103211</v>
      </c>
      <c r="D131" s="546">
        <f>'Wrksht. I, CWIP AFUDC Cre. EKS'!I112</f>
        <v>0</v>
      </c>
      <c r="E131" s="542" t="str">
        <f>'Wrksht. H, CWIP Desc. EKS'!E111</f>
        <v>O</v>
      </c>
      <c r="F131" s="541"/>
      <c r="G131" s="546">
        <f t="shared" si="10"/>
        <v>0</v>
      </c>
      <c r="H131" s="546">
        <f t="shared" si="8"/>
        <v>0</v>
      </c>
      <c r="I131" s="544"/>
      <c r="J131" s="545" t="str">
        <f>'Wrksht. H, CWIP Desc. EKS'!F111</f>
        <v>MV CABLE REPLACEMENT</v>
      </c>
    </row>
    <row r="132" spans="1:10">
      <c r="A132" s="619">
        <f t="shared" si="9"/>
        <v>102</v>
      </c>
      <c r="B132" s="539" t="str">
        <f>'Wrksht. H, CWIP Desc. EKS'!B112</f>
        <v>1070002</v>
      </c>
      <c r="C132" s="540" t="str">
        <f>'Wrksht. H, CWIP Desc. EKS'!C112</f>
        <v xml:space="preserve"> 7103212</v>
      </c>
      <c r="D132" s="546">
        <f>'Wrksht. I, CWIP AFUDC Cre. EKS'!I113</f>
        <v>0</v>
      </c>
      <c r="E132" s="542" t="str">
        <f>'Wrksht. H, CWIP Desc. EKS'!E112</f>
        <v>O</v>
      </c>
      <c r="F132" s="541"/>
      <c r="G132" s="546">
        <f t="shared" si="10"/>
        <v>0</v>
      </c>
      <c r="H132" s="546">
        <f t="shared" si="8"/>
        <v>0</v>
      </c>
      <c r="I132" s="544"/>
      <c r="J132" s="545" t="str">
        <f>'Wrksht. H, CWIP Desc. EKS'!F112</f>
        <v>L1 HOT REHEAT STEAM LINE REPL</v>
      </c>
    </row>
    <row r="133" spans="1:10">
      <c r="A133" s="618">
        <f t="shared" si="9"/>
        <v>103</v>
      </c>
      <c r="B133" s="539" t="str">
        <f>'Wrksht. H, CWIP Desc. EKS'!B113</f>
        <v>1070002</v>
      </c>
      <c r="C133" s="540" t="str">
        <f>'Wrksht. H, CWIP Desc. EKS'!C113</f>
        <v xml:space="preserve"> 7103225</v>
      </c>
      <c r="D133" s="546">
        <f>'Wrksht. I, CWIP AFUDC Cre. EKS'!I114</f>
        <v>0</v>
      </c>
      <c r="E133" s="542" t="str">
        <f>'Wrksht. H, CWIP Desc. EKS'!E113</f>
        <v>PC</v>
      </c>
      <c r="F133" s="541"/>
      <c r="G133" s="546">
        <f t="shared" si="10"/>
        <v>0</v>
      </c>
      <c r="H133" s="546">
        <v>0</v>
      </c>
      <c r="I133" s="544"/>
      <c r="J133" s="545" t="str">
        <f>'Wrksht. H, CWIP Desc. EKS'!F113</f>
        <v>CATALYST FABRICATION MODIFICATION</v>
      </c>
    </row>
    <row r="134" spans="1:10" ht="12.6" customHeight="1">
      <c r="A134" s="619">
        <f t="shared" si="9"/>
        <v>104</v>
      </c>
      <c r="B134" s="539" t="str">
        <f>'Wrksht. H, CWIP Desc. EKS'!B114</f>
        <v>1070002</v>
      </c>
      <c r="C134" s="540" t="str">
        <f>'Wrksht. H, CWIP Desc. EKS'!C114</f>
        <v xml:space="preserve"> 7107489</v>
      </c>
      <c r="D134" s="546">
        <f>'Wrksht. I, CWIP AFUDC Cre. EKS'!I115</f>
        <v>0</v>
      </c>
      <c r="E134" s="542" t="str">
        <f>'Wrksht. H, CWIP Desc. EKS'!E114</f>
        <v>O</v>
      </c>
      <c r="F134" s="541"/>
      <c r="G134" s="546">
        <f t="shared" si="10"/>
        <v>0</v>
      </c>
      <c r="H134" s="546">
        <f t="shared" si="8"/>
        <v>0</v>
      </c>
      <c r="I134" s="544"/>
      <c r="J134" s="545" t="str">
        <f>'Wrksht. H, CWIP Desc. EKS'!F114</f>
        <v>PIPING FOR PERFORMING HYDRO</v>
      </c>
    </row>
    <row r="135" spans="1:10">
      <c r="A135" s="618">
        <f t="shared" si="9"/>
        <v>105</v>
      </c>
      <c r="B135" s="539" t="str">
        <f>'Wrksht. H, CWIP Desc. EKS'!B115</f>
        <v>1070002</v>
      </c>
      <c r="C135" s="540" t="str">
        <f>'Wrksht. H, CWIP Desc. EKS'!C115</f>
        <v xml:space="preserve"> 7109229</v>
      </c>
      <c r="D135" s="546">
        <f>'Wrksht. I, CWIP AFUDC Cre. EKS'!I116</f>
        <v>0</v>
      </c>
      <c r="E135" s="542" t="str">
        <f>'Wrksht. H, CWIP Desc. EKS'!E115</f>
        <v>O</v>
      </c>
      <c r="F135" s="541"/>
      <c r="G135" s="546">
        <f t="shared" si="10"/>
        <v>0</v>
      </c>
      <c r="H135" s="546">
        <f t="shared" si="8"/>
        <v>0</v>
      </c>
      <c r="I135" s="544"/>
      <c r="J135" s="545" t="str">
        <f>'Wrksht. H, CWIP Desc. EKS'!F115</f>
        <v>SEC PERSONNEL PROTECTION</v>
      </c>
    </row>
    <row r="136" spans="1:10">
      <c r="A136" s="618">
        <f t="shared" si="9"/>
        <v>106</v>
      </c>
      <c r="B136" s="539" t="str">
        <f>'Wrksht. H, CWIP Desc. EKS'!B116</f>
        <v>1070002</v>
      </c>
      <c r="C136" s="540" t="str">
        <f>'Wrksht. H, CWIP Desc. EKS'!C116</f>
        <v xml:space="preserve"> 7109249</v>
      </c>
      <c r="D136" s="546">
        <f>'Wrksht. I, CWIP AFUDC Cre. EKS'!I117</f>
        <v>0</v>
      </c>
      <c r="E136" s="542" t="str">
        <f>'Wrksht. H, CWIP Desc. EKS'!E116</f>
        <v>PC</v>
      </c>
      <c r="F136" s="541"/>
      <c r="G136" s="546">
        <f t="shared" si="10"/>
        <v>0</v>
      </c>
      <c r="H136" s="546">
        <v>0</v>
      </c>
      <c r="I136" s="544"/>
      <c r="J136" s="545" t="str">
        <f>'Wrksht. H, CWIP Desc. EKS'!F116</f>
        <v>L1 CEM ANALYZER REPL</v>
      </c>
    </row>
    <row r="137" spans="1:10">
      <c r="A137" s="618">
        <f t="shared" si="9"/>
        <v>107</v>
      </c>
      <c r="B137" s="539" t="str">
        <f>'Wrksht. H, CWIP Desc. EKS'!B117</f>
        <v>1070002</v>
      </c>
      <c r="C137" s="540" t="str">
        <f>'Wrksht. H, CWIP Desc. EKS'!C117</f>
        <v xml:space="preserve"> 7109252</v>
      </c>
      <c r="D137" s="546">
        <f>'Wrksht. I, CWIP AFUDC Cre. EKS'!I118</f>
        <v>0</v>
      </c>
      <c r="E137" s="542" t="str">
        <f>'Wrksht. H, CWIP Desc. EKS'!E117</f>
        <v>O</v>
      </c>
      <c r="F137" s="541"/>
      <c r="G137" s="546">
        <f t="shared" si="10"/>
        <v>0</v>
      </c>
      <c r="H137" s="546">
        <f t="shared" si="8"/>
        <v>0</v>
      </c>
      <c r="I137" s="544"/>
      <c r="J137" s="545" t="str">
        <f>'Wrksht. H, CWIP Desc. EKS'!F117</f>
        <v>BALL MILL MOTOR</v>
      </c>
    </row>
    <row r="138" spans="1:10">
      <c r="A138" s="618">
        <f t="shared" si="9"/>
        <v>108</v>
      </c>
      <c r="B138" s="539" t="str">
        <f>'Wrksht. H, CWIP Desc. EKS'!B118</f>
        <v>1070002</v>
      </c>
      <c r="C138" s="540" t="str">
        <f>'Wrksht. H, CWIP Desc. EKS'!C118</f>
        <v xml:space="preserve"> 7109253</v>
      </c>
      <c r="D138" s="546">
        <f>'Wrksht. I, CWIP AFUDC Cre. EKS'!I119</f>
        <v>0</v>
      </c>
      <c r="E138" s="542" t="str">
        <f>'Wrksht. H, CWIP Desc. EKS'!E118</f>
        <v>O</v>
      </c>
      <c r="F138" s="541"/>
      <c r="G138" s="546">
        <f t="shared" si="10"/>
        <v>0</v>
      </c>
      <c r="H138" s="546">
        <f t="shared" si="8"/>
        <v>0</v>
      </c>
      <c r="I138" s="544"/>
      <c r="J138" s="545" t="str">
        <f>'Wrksht. H, CWIP Desc. EKS'!F118</f>
        <v>VACUUM PUMP REPLACEMENT</v>
      </c>
    </row>
    <row r="139" spans="1:10">
      <c r="A139" s="618">
        <f t="shared" si="9"/>
        <v>109</v>
      </c>
      <c r="B139" s="539" t="str">
        <f>'Wrksht. H, CWIP Desc. EKS'!B119</f>
        <v>1070002</v>
      </c>
      <c r="C139" s="540" t="str">
        <f>'Wrksht. H, CWIP Desc. EKS'!C119</f>
        <v xml:space="preserve"> 7109255</v>
      </c>
      <c r="D139" s="546">
        <f>'Wrksht. I, CWIP AFUDC Cre. EKS'!I120</f>
        <v>0</v>
      </c>
      <c r="E139" s="542" t="str">
        <f>'Wrksht. H, CWIP Desc. EKS'!E119</f>
        <v>O</v>
      </c>
      <c r="F139" s="541"/>
      <c r="G139" s="546">
        <f t="shared" si="10"/>
        <v>0</v>
      </c>
      <c r="H139" s="546">
        <f t="shared" si="8"/>
        <v>0</v>
      </c>
      <c r="I139" s="544"/>
      <c r="J139" s="545" t="str">
        <f>'Wrksht. H, CWIP Desc. EKS'!F119</f>
        <v>STORAGE TANK MIXER</v>
      </c>
    </row>
    <row r="140" spans="1:10">
      <c r="A140" s="618">
        <f t="shared" si="9"/>
        <v>110</v>
      </c>
      <c r="B140" s="539" t="str">
        <f>'Wrksht. H, CWIP Desc. EKS'!B120</f>
        <v>1070002</v>
      </c>
      <c r="C140" s="540" t="str">
        <f>'Wrksht. H, CWIP Desc. EKS'!C120</f>
        <v xml:space="preserve"> 7109256</v>
      </c>
      <c r="D140" s="546">
        <f>'Wrksht. I, CWIP AFUDC Cre. EKS'!I121</f>
        <v>0</v>
      </c>
      <c r="E140" s="542" t="str">
        <f>'Wrksht. H, CWIP Desc. EKS'!E120</f>
        <v>O</v>
      </c>
      <c r="F140" s="541"/>
      <c r="G140" s="546">
        <f t="shared" si="10"/>
        <v>0</v>
      </c>
      <c r="H140" s="546">
        <f t="shared" si="8"/>
        <v>0</v>
      </c>
      <c r="I140" s="544"/>
      <c r="J140" s="545" t="str">
        <f>'Wrksht. H, CWIP Desc. EKS'!F120</f>
        <v>TRANSFER PUMP</v>
      </c>
    </row>
    <row r="141" spans="1:10">
      <c r="A141" s="619">
        <f t="shared" si="9"/>
        <v>111</v>
      </c>
      <c r="B141" s="539" t="str">
        <f>'Wrksht. H, CWIP Desc. EKS'!B121</f>
        <v>1070002</v>
      </c>
      <c r="C141" s="540" t="str">
        <f>'Wrksht. H, CWIP Desc. EKS'!C121</f>
        <v xml:space="preserve"> 7109257</v>
      </c>
      <c r="D141" s="546">
        <f>'Wrksht. I, CWIP AFUDC Cre. EKS'!I122</f>
        <v>0</v>
      </c>
      <c r="E141" s="542" t="str">
        <f>'Wrksht. H, CWIP Desc. EKS'!E121</f>
        <v>O</v>
      </c>
      <c r="F141" s="541"/>
      <c r="G141" s="546">
        <f t="shared" si="10"/>
        <v>0</v>
      </c>
      <c r="H141" s="546">
        <f t="shared" si="8"/>
        <v>0</v>
      </c>
      <c r="I141" s="544"/>
      <c r="J141" s="545" t="str">
        <f>'Wrksht. H, CWIP Desc. EKS'!F121</f>
        <v>SOOTBLOWERS CABLES</v>
      </c>
    </row>
    <row r="142" spans="1:10">
      <c r="A142" s="618">
        <f t="shared" si="9"/>
        <v>112</v>
      </c>
      <c r="B142" s="539" t="str">
        <f>'Wrksht. H, CWIP Desc. EKS'!B122</f>
        <v>1070002</v>
      </c>
      <c r="C142" s="540" t="str">
        <f>'Wrksht. H, CWIP Desc. EKS'!C122</f>
        <v xml:space="preserve"> 7109258</v>
      </c>
      <c r="D142" s="546">
        <f>'Wrksht. I, CWIP AFUDC Cre. EKS'!I123</f>
        <v>0</v>
      </c>
      <c r="E142" s="542" t="str">
        <f>'Wrksht. H, CWIP Desc. EKS'!E122</f>
        <v>O</v>
      </c>
      <c r="F142" s="541"/>
      <c r="G142" s="546">
        <f t="shared" si="10"/>
        <v>0</v>
      </c>
      <c r="H142" s="546">
        <f t="shared" si="8"/>
        <v>0</v>
      </c>
      <c r="I142" s="544"/>
      <c r="J142" s="545" t="str">
        <f>'Wrksht. H, CWIP Desc. EKS'!F122</f>
        <v>WINDBOX DRAIN PLATFORMS</v>
      </c>
    </row>
    <row r="143" spans="1:10">
      <c r="A143" s="618">
        <f t="shared" si="9"/>
        <v>113</v>
      </c>
      <c r="B143" s="539" t="str">
        <f>'Wrksht. H, CWIP Desc. EKS'!B123</f>
        <v>1070002</v>
      </c>
      <c r="C143" s="540" t="str">
        <f>'Wrksht. H, CWIP Desc. EKS'!C123</f>
        <v xml:space="preserve"> 7109293</v>
      </c>
      <c r="D143" s="546">
        <f>'Wrksht. I, CWIP AFUDC Cre. EKS'!I124</f>
        <v>0</v>
      </c>
      <c r="E143" s="542" t="str">
        <f>'Wrksht. H, CWIP Desc. EKS'!E123</f>
        <v>PC</v>
      </c>
      <c r="F143" s="541"/>
      <c r="G143" s="546">
        <f t="shared" si="10"/>
        <v>0</v>
      </c>
      <c r="H143" s="546">
        <v>0</v>
      </c>
      <c r="I143" s="544"/>
      <c r="J143" s="545" t="str">
        <f>'Wrksht. H, CWIP Desc. EKS'!F123</f>
        <v>AQC CABINETS REPLACE</v>
      </c>
    </row>
    <row r="144" spans="1:10">
      <c r="A144" s="619">
        <f t="shared" si="9"/>
        <v>114</v>
      </c>
      <c r="B144" s="539" t="str">
        <f>'Wrksht. H, CWIP Desc. EKS'!B124</f>
        <v>1070002</v>
      </c>
      <c r="C144" s="540" t="str">
        <f>'Wrksht. H, CWIP Desc. EKS'!C124</f>
        <v xml:space="preserve"> 7109296</v>
      </c>
      <c r="D144" s="546">
        <f>'Wrksht. I, CWIP AFUDC Cre. EKS'!I125</f>
        <v>0</v>
      </c>
      <c r="E144" s="542" t="str">
        <f>'Wrksht. H, CWIP Desc. EKS'!E124</f>
        <v>PC</v>
      </c>
      <c r="F144" s="541"/>
      <c r="G144" s="546">
        <f t="shared" si="10"/>
        <v>0</v>
      </c>
      <c r="H144" s="546">
        <v>0</v>
      </c>
      <c r="I144" s="544"/>
      <c r="J144" s="545" t="str">
        <f>'Wrksht. H, CWIP Desc. EKS'!F124</f>
        <v>AQC PERSONNEL SAFETY SYSTEM</v>
      </c>
    </row>
    <row r="145" spans="1:10">
      <c r="A145" s="618">
        <f t="shared" si="9"/>
        <v>115</v>
      </c>
      <c r="B145" s="539" t="str">
        <f>'Wrksht. H, CWIP Desc. EKS'!B125</f>
        <v>1070002</v>
      </c>
      <c r="C145" s="540" t="str">
        <f>'Wrksht. H, CWIP Desc. EKS'!C125</f>
        <v xml:space="preserve"> 7109297</v>
      </c>
      <c r="D145" s="546">
        <f>'Wrksht. I, CWIP AFUDC Cre. EKS'!I126</f>
        <v>0</v>
      </c>
      <c r="E145" s="542" t="str">
        <f>'Wrksht. H, CWIP Desc. EKS'!E125</f>
        <v>PC</v>
      </c>
      <c r="F145" s="541"/>
      <c r="G145" s="546">
        <f t="shared" si="10"/>
        <v>0</v>
      </c>
      <c r="H145" s="546">
        <v>0</v>
      </c>
      <c r="I145" s="544"/>
      <c r="J145" s="545" t="str">
        <f>'Wrksht. H, CWIP Desc. EKS'!F125</f>
        <v>AQC BALL MILL LINER REPLACE</v>
      </c>
    </row>
    <row r="146" spans="1:10">
      <c r="A146" s="618">
        <f t="shared" si="9"/>
        <v>116</v>
      </c>
      <c r="B146" s="539" t="str">
        <f>'Wrksht. H, CWIP Desc. EKS'!B126</f>
        <v>1070002</v>
      </c>
      <c r="C146" s="540" t="str">
        <f>'Wrksht. H, CWIP Desc. EKS'!C126</f>
        <v xml:space="preserve"> 7109302</v>
      </c>
      <c r="D146" s="546">
        <f>'Wrksht. I, CWIP AFUDC Cre. EKS'!I127</f>
        <v>0</v>
      </c>
      <c r="E146" s="542" t="str">
        <f>'Wrksht. H, CWIP Desc. EKS'!E126</f>
        <v>O</v>
      </c>
      <c r="F146" s="541"/>
      <c r="G146" s="546">
        <f t="shared" si="10"/>
        <v>0</v>
      </c>
      <c r="H146" s="546">
        <f t="shared" si="8"/>
        <v>0</v>
      </c>
      <c r="I146" s="544"/>
      <c r="J146" s="545" t="str">
        <f>'Wrksht. H, CWIP Desc. EKS'!F126</f>
        <v>L1 ECH FILTER UNIT</v>
      </c>
    </row>
    <row r="147" spans="1:10">
      <c r="A147" s="618">
        <f t="shared" si="9"/>
        <v>117</v>
      </c>
      <c r="B147" s="539" t="str">
        <f>'Wrksht. H, CWIP Desc. EKS'!B127</f>
        <v>1070002</v>
      </c>
      <c r="C147" s="540" t="str">
        <f>'Wrksht. H, CWIP Desc. EKS'!C127</f>
        <v xml:space="preserve"> 7109310</v>
      </c>
      <c r="D147" s="546">
        <f>'Wrksht. I, CWIP AFUDC Cre. EKS'!I128</f>
        <v>0</v>
      </c>
      <c r="E147" s="542" t="str">
        <f>'Wrksht. H, CWIP Desc. EKS'!E127</f>
        <v>O</v>
      </c>
      <c r="F147" s="541"/>
      <c r="G147" s="546">
        <f t="shared" si="10"/>
        <v>0</v>
      </c>
      <c r="H147" s="546">
        <f t="shared" si="8"/>
        <v>0</v>
      </c>
      <c r="I147" s="544"/>
      <c r="J147" s="545" t="str">
        <f>'Wrksht. H, CWIP Desc. EKS'!F127</f>
        <v>B&amp;C ID FAN INLET DAMP DR CONTROL</v>
      </c>
    </row>
    <row r="148" spans="1:10">
      <c r="A148" s="619">
        <f t="shared" si="9"/>
        <v>118</v>
      </c>
      <c r="B148" s="539" t="str">
        <f>'Wrksht. H, CWIP Desc. EKS'!B128</f>
        <v>1070002</v>
      </c>
      <c r="C148" s="540" t="str">
        <f>'Wrksht. H, CWIP Desc. EKS'!C128</f>
        <v xml:space="preserve"> 7109318</v>
      </c>
      <c r="D148" s="546">
        <f>'Wrksht. I, CWIP AFUDC Cre. EKS'!I129</f>
        <v>0</v>
      </c>
      <c r="E148" s="542" t="str">
        <f>'Wrksht. H, CWIP Desc. EKS'!E128</f>
        <v>O</v>
      </c>
      <c r="F148" s="541"/>
      <c r="G148" s="546">
        <f t="shared" si="10"/>
        <v>0</v>
      </c>
      <c r="H148" s="546">
        <f t="shared" si="8"/>
        <v>0</v>
      </c>
      <c r="I148" s="544"/>
      <c r="J148" s="545" t="str">
        <f>'Wrksht. H, CWIP Desc. EKS'!F128</f>
        <v>L1 BALL MILL FEEDER BELT REPL</v>
      </c>
    </row>
    <row r="149" spans="1:10">
      <c r="A149" s="619">
        <f t="shared" si="9"/>
        <v>119</v>
      </c>
      <c r="B149" s="539" t="str">
        <f>'Wrksht. H, CWIP Desc. EKS'!B129</f>
        <v>1070002</v>
      </c>
      <c r="C149" s="540" t="str">
        <f>'Wrksht. H, CWIP Desc. EKS'!C129</f>
        <v xml:space="preserve"> 7109320</v>
      </c>
      <c r="D149" s="546">
        <f>'Wrksht. I, CWIP AFUDC Cre. EKS'!I130</f>
        <v>0</v>
      </c>
      <c r="E149" s="542" t="str">
        <f>'Wrksht. H, CWIP Desc. EKS'!E129</f>
        <v>O</v>
      </c>
      <c r="F149" s="541"/>
      <c r="G149" s="546">
        <f t="shared" si="10"/>
        <v>0</v>
      </c>
      <c r="H149" s="546">
        <f t="shared" si="8"/>
        <v>0</v>
      </c>
      <c r="I149" s="544"/>
      <c r="J149" s="545" t="str">
        <f>'Wrksht. H, CWIP Desc. EKS'!F129</f>
        <v>BFP RECIRC VALVE REPLACE</v>
      </c>
    </row>
    <row r="150" spans="1:10">
      <c r="A150" s="618">
        <f t="shared" si="9"/>
        <v>120</v>
      </c>
      <c r="B150" s="539" t="str">
        <f>'Wrksht. H, CWIP Desc. EKS'!B130</f>
        <v>1070002</v>
      </c>
      <c r="C150" s="540" t="str">
        <f>'Wrksht. H, CWIP Desc. EKS'!C130</f>
        <v xml:space="preserve"> 7109325</v>
      </c>
      <c r="D150" s="546">
        <f>'Wrksht. I, CWIP AFUDC Cre. EKS'!I131</f>
        <v>0</v>
      </c>
      <c r="E150" s="542" t="str">
        <f>'Wrksht. H, CWIP Desc. EKS'!E130</f>
        <v>PC</v>
      </c>
      <c r="F150" s="541"/>
      <c r="G150" s="546">
        <f t="shared" si="10"/>
        <v>0</v>
      </c>
      <c r="H150" s="546">
        <v>0</v>
      </c>
      <c r="I150" s="544"/>
      <c r="J150" s="545" t="str">
        <f>'Wrksht. H, CWIP Desc. EKS'!F130</f>
        <v>SCR SONICE HORN HEAT TRACE</v>
      </c>
    </row>
    <row r="151" spans="1:10">
      <c r="A151" s="618">
        <f t="shared" si="9"/>
        <v>121</v>
      </c>
      <c r="B151" s="539" t="str">
        <f>'Wrksht. H, CWIP Desc. EKS'!B131</f>
        <v>1070002</v>
      </c>
      <c r="C151" s="540" t="str">
        <f>'Wrksht. H, CWIP Desc. EKS'!C131</f>
        <v xml:space="preserve"> 7109327</v>
      </c>
      <c r="D151" s="546">
        <f>'Wrksht. I, CWIP AFUDC Cre. EKS'!I132</f>
        <v>0</v>
      </c>
      <c r="E151" s="542" t="str">
        <f>'Wrksht. H, CWIP Desc. EKS'!E131</f>
        <v>PC</v>
      </c>
      <c r="F151" s="541"/>
      <c r="G151" s="546">
        <f t="shared" si="10"/>
        <v>0</v>
      </c>
      <c r="H151" s="546">
        <v>0</v>
      </c>
      <c r="I151" s="544"/>
      <c r="J151" s="545" t="str">
        <f>'Wrksht. H, CWIP Desc. EKS'!F131</f>
        <v>SCR DRY EIGHT CONV PLATFORMS</v>
      </c>
    </row>
    <row r="152" spans="1:10">
      <c r="A152" s="618">
        <f t="shared" si="9"/>
        <v>122</v>
      </c>
      <c r="B152" s="539" t="str">
        <f>'Wrksht. H, CWIP Desc. EKS'!B132</f>
        <v>1070002</v>
      </c>
      <c r="C152" s="540" t="str">
        <f>'Wrksht. H, CWIP Desc. EKS'!C132</f>
        <v xml:space="preserve"> 7109329</v>
      </c>
      <c r="D152" s="546">
        <f>'Wrksht. I, CWIP AFUDC Cre. EKS'!I133</f>
        <v>0</v>
      </c>
      <c r="E152" s="542" t="str">
        <f>'Wrksht. H, CWIP Desc. EKS'!E132</f>
        <v>O</v>
      </c>
      <c r="F152" s="541"/>
      <c r="G152" s="546">
        <f t="shared" si="10"/>
        <v>0</v>
      </c>
      <c r="H152" s="546">
        <f t="shared" si="8"/>
        <v>0</v>
      </c>
      <c r="I152" s="544"/>
      <c r="J152" s="545" t="str">
        <f>'Wrksht. H, CWIP Desc. EKS'!F132</f>
        <v>MODULE DEMISTER TRAYS</v>
      </c>
    </row>
    <row r="153" spans="1:10">
      <c r="A153" s="619">
        <f t="shared" ref="A153:A166" si="11">A152+1</f>
        <v>123</v>
      </c>
      <c r="B153" s="539" t="str">
        <f>'Wrksht. H, CWIP Desc. EKS'!B133</f>
        <v>1070002</v>
      </c>
      <c r="C153" s="540" t="str">
        <f>'Wrksht. H, CWIP Desc. EKS'!C133</f>
        <v xml:space="preserve"> 7203187</v>
      </c>
      <c r="D153" s="546">
        <f>'Wrksht. I, CWIP AFUDC Cre. EKS'!I134</f>
        <v>0</v>
      </c>
      <c r="E153" s="542" t="str">
        <f>'Wrksht. H, CWIP Desc. EKS'!E133</f>
        <v>PC</v>
      </c>
      <c r="F153" s="541"/>
      <c r="G153" s="546">
        <f t="shared" si="10"/>
        <v>0</v>
      </c>
      <c r="H153" s="546">
        <v>0</v>
      </c>
      <c r="I153" s="544"/>
      <c r="J153" s="545" t="str">
        <f>'Wrksht. H, CWIP Desc. EKS'!F133</f>
        <v>L2 ENVIRONMENTAL UPGRADES</v>
      </c>
    </row>
    <row r="154" spans="1:10">
      <c r="A154" s="618">
        <f t="shared" si="11"/>
        <v>124</v>
      </c>
      <c r="B154" s="539" t="str">
        <f>'Wrksht. H, CWIP Desc. EKS'!B134</f>
        <v>1070002</v>
      </c>
      <c r="C154" s="540" t="str">
        <f>'Wrksht. H, CWIP Desc. EKS'!C134</f>
        <v xml:space="preserve"> 7203190</v>
      </c>
      <c r="D154" s="546">
        <f>'Wrksht. I, CWIP AFUDC Cre. EKS'!I135</f>
        <v>0</v>
      </c>
      <c r="E154" s="542" t="str">
        <f>'Wrksht. H, CWIP Desc. EKS'!E134</f>
        <v>O</v>
      </c>
      <c r="F154" s="541"/>
      <c r="G154" s="546">
        <f t="shared" si="10"/>
        <v>0</v>
      </c>
      <c r="H154" s="546">
        <f t="shared" si="8"/>
        <v>0</v>
      </c>
      <c r="I154" s="544"/>
      <c r="J154" s="545" t="str">
        <f>'Wrksht. H, CWIP Desc. EKS'!F134</f>
        <v>LAC #2 BUS COOLING SYSTEM</v>
      </c>
    </row>
    <row r="155" spans="1:10">
      <c r="A155" s="619">
        <f t="shared" si="11"/>
        <v>125</v>
      </c>
      <c r="B155" s="539" t="str">
        <f>'Wrksht. H, CWIP Desc. EKS'!B135</f>
        <v>1070002</v>
      </c>
      <c r="C155" s="540" t="str">
        <f>'Wrksht. H, CWIP Desc. EKS'!C135</f>
        <v xml:space="preserve"> 7203203</v>
      </c>
      <c r="D155" s="546">
        <f>'Wrksht. I, CWIP AFUDC Cre. EKS'!I136</f>
        <v>0</v>
      </c>
      <c r="E155" s="542" t="str">
        <f>'Wrksht. H, CWIP Desc. EKS'!E135</f>
        <v>PC</v>
      </c>
      <c r="F155" s="541"/>
      <c r="G155" s="546">
        <f t="shared" si="10"/>
        <v>0</v>
      </c>
      <c r="H155" s="546">
        <v>0</v>
      </c>
      <c r="I155" s="544"/>
      <c r="J155" s="545" t="str">
        <f>'Wrksht. H, CWIP Desc. EKS'!F135</f>
        <v>L2 ENVIRONMENTAL UPGRADES</v>
      </c>
    </row>
    <row r="156" spans="1:10">
      <c r="A156" s="619">
        <f t="shared" si="11"/>
        <v>126</v>
      </c>
      <c r="B156" s="539" t="str">
        <f>'Wrksht. H, CWIP Desc. EKS'!B136</f>
        <v>1070002</v>
      </c>
      <c r="C156" s="540" t="str">
        <f>'Wrksht. H, CWIP Desc. EKS'!C136</f>
        <v xml:space="preserve"> 7203206</v>
      </c>
      <c r="D156" s="546">
        <f>'Wrksht. I, CWIP AFUDC Cre. EKS'!I137</f>
        <v>0</v>
      </c>
      <c r="E156" s="542" t="str">
        <f>'Wrksht. H, CWIP Desc. EKS'!E136</f>
        <v>PC</v>
      </c>
      <c r="F156" s="541"/>
      <c r="G156" s="546">
        <f t="shared" si="10"/>
        <v>0</v>
      </c>
      <c r="H156" s="546">
        <v>0</v>
      </c>
      <c r="I156" s="544"/>
      <c r="J156" s="545" t="str">
        <f>'Wrksht. H, CWIP Desc. EKS'!F136</f>
        <v>LOW NOX BURNERS</v>
      </c>
    </row>
    <row r="157" spans="1:10">
      <c r="A157" s="619">
        <f t="shared" si="11"/>
        <v>127</v>
      </c>
      <c r="B157" s="539" t="str">
        <f>'Wrksht. H, CWIP Desc. EKS'!B137</f>
        <v>1070002</v>
      </c>
      <c r="C157" s="540" t="str">
        <f>'Wrksht. H, CWIP Desc. EKS'!C137</f>
        <v xml:space="preserve"> 7207459</v>
      </c>
      <c r="D157" s="546">
        <f>'Wrksht. I, CWIP AFUDC Cre. EKS'!I138</f>
        <v>0</v>
      </c>
      <c r="E157" s="542" t="str">
        <f>'Wrksht. H, CWIP Desc. EKS'!E137</f>
        <v>O</v>
      </c>
      <c r="F157" s="541"/>
      <c r="G157" s="546">
        <f t="shared" si="10"/>
        <v>0</v>
      </c>
      <c r="H157" s="546">
        <f t="shared" si="8"/>
        <v>0</v>
      </c>
      <c r="I157" s="544"/>
      <c r="J157" s="545" t="str">
        <f>'Wrksht. H, CWIP Desc. EKS'!F137</f>
        <v>SEWAGE LIFT STATION</v>
      </c>
    </row>
    <row r="158" spans="1:10">
      <c r="A158" s="619">
        <f t="shared" si="11"/>
        <v>128</v>
      </c>
      <c r="B158" s="539" t="str">
        <f>'Wrksht. H, CWIP Desc. EKS'!B138</f>
        <v>1070002</v>
      </c>
      <c r="C158" s="540" t="str">
        <f>'Wrksht. H, CWIP Desc. EKS'!C138</f>
        <v xml:space="preserve"> 7209247</v>
      </c>
      <c r="D158" s="546">
        <f>'Wrksht. I, CWIP AFUDC Cre. EKS'!I139</f>
        <v>0</v>
      </c>
      <c r="E158" s="542" t="str">
        <f>'Wrksht. H, CWIP Desc. EKS'!E138</f>
        <v>O</v>
      </c>
      <c r="F158" s="541"/>
      <c r="G158" s="546">
        <f t="shared" si="10"/>
        <v>0</v>
      </c>
      <c r="H158" s="546">
        <f t="shared" si="8"/>
        <v>0</v>
      </c>
      <c r="I158" s="544"/>
      <c r="J158" s="545" t="str">
        <f>'Wrksht. H, CWIP Desc. EKS'!F138</f>
        <v>SAFETY DISCONNECTS REPLACEMENT</v>
      </c>
    </row>
    <row r="159" spans="1:10">
      <c r="A159" s="618">
        <f t="shared" si="11"/>
        <v>129</v>
      </c>
      <c r="B159" s="539" t="str">
        <f>'Wrksht. H, CWIP Desc. EKS'!B139</f>
        <v>1070002</v>
      </c>
      <c r="C159" s="540" t="str">
        <f>'Wrksht. H, CWIP Desc. EKS'!C139</f>
        <v xml:space="preserve"> 7209251</v>
      </c>
      <c r="D159" s="546">
        <f>'Wrksht. I, CWIP AFUDC Cre. EKS'!I140</f>
        <v>0</v>
      </c>
      <c r="E159" s="542" t="str">
        <f>'Wrksht. H, CWIP Desc. EKS'!E139</f>
        <v>PC</v>
      </c>
      <c r="F159" s="541"/>
      <c r="G159" s="546">
        <f t="shared" si="10"/>
        <v>0</v>
      </c>
      <c r="H159" s="546">
        <v>0</v>
      </c>
      <c r="I159" s="544"/>
      <c r="J159" s="545" t="str">
        <f>'Wrksht. H, CWIP Desc. EKS'!F139</f>
        <v>FLYASH EXHAUSTER MOTOR REPLACEMENT</v>
      </c>
    </row>
    <row r="160" spans="1:10">
      <c r="A160" s="618">
        <f t="shared" si="11"/>
        <v>130</v>
      </c>
      <c r="B160" s="539" t="str">
        <f>'Wrksht. H, CWIP Desc. EKS'!B140</f>
        <v>1070002</v>
      </c>
      <c r="C160" s="540" t="str">
        <f>'Wrksht. H, CWIP Desc. EKS'!C140</f>
        <v xml:space="preserve"> 7209259</v>
      </c>
      <c r="D160" s="546">
        <f>'Wrksht. I, CWIP AFUDC Cre. EKS'!I141</f>
        <v>0</v>
      </c>
      <c r="E160" s="542" t="str">
        <f>'Wrksht. H, CWIP Desc. EKS'!E140</f>
        <v>O</v>
      </c>
      <c r="F160" s="541"/>
      <c r="G160" s="546">
        <f t="shared" si="10"/>
        <v>0</v>
      </c>
      <c r="H160" s="546">
        <f t="shared" si="8"/>
        <v>0</v>
      </c>
      <c r="I160" s="544"/>
      <c r="J160" s="545" t="str">
        <f>'Wrksht. H, CWIP Desc. EKS'!F140</f>
        <v>PRIMARY AIR HEATER GEARBOX REPLACEMENT</v>
      </c>
    </row>
    <row r="161" spans="1:10">
      <c r="A161" s="618">
        <f t="shared" si="11"/>
        <v>131</v>
      </c>
      <c r="B161" s="539" t="str">
        <f>'Wrksht. H, CWIP Desc. EKS'!B141</f>
        <v>1070002</v>
      </c>
      <c r="C161" s="540" t="str">
        <f>'Wrksht. H, CWIP Desc. EKS'!C141</f>
        <v xml:space="preserve"> 7209260</v>
      </c>
      <c r="D161" s="546">
        <f>'Wrksht. I, CWIP AFUDC Cre. EKS'!I142</f>
        <v>0</v>
      </c>
      <c r="E161" s="542" t="str">
        <f>'Wrksht. H, CWIP Desc. EKS'!E141</f>
        <v>O</v>
      </c>
      <c r="F161" s="541"/>
      <c r="G161" s="546">
        <f t="shared" si="10"/>
        <v>0</v>
      </c>
      <c r="H161" s="546">
        <f t="shared" si="8"/>
        <v>0</v>
      </c>
      <c r="I161" s="544"/>
      <c r="J161" s="545" t="str">
        <f>'Wrksht. H, CWIP Desc. EKS'!F141</f>
        <v>PULVERIZER FEEDER BELT</v>
      </c>
    </row>
    <row r="162" spans="1:10">
      <c r="A162" s="618">
        <f t="shared" si="11"/>
        <v>132</v>
      </c>
      <c r="B162" s="539" t="str">
        <f>'Wrksht. H, CWIP Desc. EKS'!B142</f>
        <v>1070002</v>
      </c>
      <c r="C162" s="540" t="str">
        <f>'Wrksht. H, CWIP Desc. EKS'!C142</f>
        <v xml:space="preserve"> 7209261</v>
      </c>
      <c r="D162" s="546">
        <f>'Wrksht. I, CWIP AFUDC Cre. EKS'!I143</f>
        <v>0</v>
      </c>
      <c r="E162" s="542" t="str">
        <f>'Wrksht. H, CWIP Desc. EKS'!E142</f>
        <v>O</v>
      </c>
      <c r="F162" s="541"/>
      <c r="G162" s="546">
        <f t="shared" si="10"/>
        <v>0</v>
      </c>
      <c r="H162" s="546">
        <f t="shared" si="8"/>
        <v>0</v>
      </c>
      <c r="I162" s="544"/>
      <c r="J162" s="545" t="str">
        <f>'Wrksht. H, CWIP Desc. EKS'!F142</f>
        <v>LUBE OIL MOTOR</v>
      </c>
    </row>
    <row r="163" spans="1:10">
      <c r="A163" s="618">
        <f t="shared" si="11"/>
        <v>133</v>
      </c>
      <c r="B163" s="539" t="str">
        <f>'Wrksht. H, CWIP Desc. EKS'!B143</f>
        <v>1070002</v>
      </c>
      <c r="C163" s="540" t="str">
        <f>'Wrksht. H, CWIP Desc. EKS'!C143</f>
        <v xml:space="preserve"> 7209263</v>
      </c>
      <c r="D163" s="546">
        <f>'Wrksht. I, CWIP AFUDC Cre. EKS'!I144</f>
        <v>0</v>
      </c>
      <c r="E163" s="542" t="str">
        <f>'Wrksht. H, CWIP Desc. EKS'!E143</f>
        <v>PC</v>
      </c>
      <c r="F163" s="541"/>
      <c r="G163" s="546">
        <f t="shared" si="10"/>
        <v>0</v>
      </c>
      <c r="H163" s="546">
        <v>0</v>
      </c>
      <c r="I163" s="544"/>
      <c r="J163" s="545" t="str">
        <f>'Wrksht. H, CWIP Desc. EKS'!F143</f>
        <v>PRECIP EXHAUST BLOWER</v>
      </c>
    </row>
    <row r="164" spans="1:10">
      <c r="A164" s="618">
        <f t="shared" si="11"/>
        <v>134</v>
      </c>
      <c r="B164" s="539" t="str">
        <f>'Wrksht. H, CWIP Desc. EKS'!B144</f>
        <v>1070002</v>
      </c>
      <c r="C164" s="540" t="str">
        <f>'Wrksht. H, CWIP Desc. EKS'!C144</f>
        <v xml:space="preserve"> 7209264</v>
      </c>
      <c r="D164" s="546">
        <f>'Wrksht. I, CWIP AFUDC Cre. EKS'!I145</f>
        <v>0</v>
      </c>
      <c r="E164" s="542" t="str">
        <f>'Wrksht. H, CWIP Desc. EKS'!E144</f>
        <v>PC</v>
      </c>
      <c r="F164" s="541"/>
      <c r="G164" s="546">
        <f t="shared" si="10"/>
        <v>0</v>
      </c>
      <c r="H164" s="546">
        <v>0</v>
      </c>
      <c r="I164" s="544"/>
      <c r="J164" s="545" t="str">
        <f>'Wrksht. H, CWIP Desc. EKS'!F144</f>
        <v>PRECIPITATOR T-R SET REPLACEMENT</v>
      </c>
    </row>
    <row r="165" spans="1:10">
      <c r="A165" s="619">
        <f t="shared" si="11"/>
        <v>135</v>
      </c>
      <c r="B165" s="539" t="str">
        <f>'Wrksht. H, CWIP Desc. EKS'!B145</f>
        <v>1070002</v>
      </c>
      <c r="C165" s="540" t="str">
        <f>'Wrksht. H, CWIP Desc. EKS'!C145</f>
        <v xml:space="preserve"> 7209265</v>
      </c>
      <c r="D165" s="546">
        <f>'Wrksht. I, CWIP AFUDC Cre. EKS'!I146</f>
        <v>0</v>
      </c>
      <c r="E165" s="542" t="str">
        <f>'Wrksht. H, CWIP Desc. EKS'!E145</f>
        <v>O</v>
      </c>
      <c r="F165" s="541"/>
      <c r="G165" s="546">
        <f t="shared" si="10"/>
        <v>0</v>
      </c>
      <c r="H165" s="546">
        <f t="shared" si="8"/>
        <v>0</v>
      </c>
      <c r="I165" s="544"/>
      <c r="J165" s="545" t="str">
        <f>'Wrksht. H, CWIP Desc. EKS'!F145</f>
        <v>TURBINE VALVE CABLE REPLACEMENT</v>
      </c>
    </row>
    <row r="166" spans="1:10">
      <c r="A166" s="618">
        <f t="shared" si="11"/>
        <v>136</v>
      </c>
      <c r="B166" s="1136" t="str">
        <f>'Wrksht. H, CWIP Desc. EKS'!B146</f>
        <v>1070002</v>
      </c>
      <c r="C166" s="1137" t="str">
        <f>'Wrksht. H, CWIP Desc. EKS'!C146</f>
        <v xml:space="preserve"> 7209274</v>
      </c>
      <c r="D166" s="546">
        <f>'Wrksht. I, CWIP AFUDC Cre. EKS'!I147</f>
        <v>0</v>
      </c>
      <c r="E166" s="1138" t="str">
        <f>'Wrksht. H, CWIP Desc. EKS'!E146</f>
        <v>O</v>
      </c>
      <c r="F166" s="1136"/>
      <c r="G166" s="546">
        <f t="shared" si="10"/>
        <v>0</v>
      </c>
      <c r="H166" s="546">
        <f t="shared" si="8"/>
        <v>0</v>
      </c>
      <c r="I166" s="1139"/>
      <c r="J166" s="1140" t="str">
        <f>'Wrksht. H, CWIP Desc. EKS'!F146</f>
        <v>I2 SH SRAY VALVE REPLACEMENT</v>
      </c>
    </row>
    <row r="167" spans="1:10">
      <c r="A167" s="618">
        <f>A166+1</f>
        <v>137</v>
      </c>
      <c r="B167" s="539" t="str">
        <f>'Wrksht. H, CWIP Desc. EKS'!B147</f>
        <v>1070002</v>
      </c>
      <c r="C167" s="1135" t="str">
        <f>'Wrksht. H, CWIP Desc. EKS'!C147</f>
        <v xml:space="preserve"> 7209303</v>
      </c>
      <c r="D167" s="546">
        <f>'Wrksht. I, CWIP AFUDC Cre. EKS'!I148</f>
        <v>0</v>
      </c>
      <c r="E167" s="542" t="str">
        <f>'Wrksht. H, CWIP Desc. EKS'!E147</f>
        <v>O</v>
      </c>
      <c r="F167" s="541"/>
      <c r="G167" s="546">
        <f>IF(H167=0,D167,0)</f>
        <v>0</v>
      </c>
      <c r="H167" s="546">
        <f t="shared" ref="H167:H240" si="12">D167*0.5</f>
        <v>0</v>
      </c>
      <c r="I167" s="544"/>
      <c r="J167" s="545" t="str">
        <f>'Wrksht. H, CWIP Desc. EKS'!F147</f>
        <v>L2 EHC FILTER UNIT</v>
      </c>
    </row>
    <row r="168" spans="1:10">
      <c r="A168" s="618">
        <f t="shared" ref="A168:A240" si="13">A167+1</f>
        <v>138</v>
      </c>
      <c r="B168" s="539" t="str">
        <f>'Wrksht. H, CWIP Desc. EKS'!B148</f>
        <v>1070002</v>
      </c>
      <c r="C168" s="540" t="str">
        <f>'Wrksht. H, CWIP Desc. EKS'!C148</f>
        <v xml:space="preserve"> 7209326</v>
      </c>
      <c r="D168" s="546">
        <f>'Wrksht. I, CWIP AFUDC Cre. EKS'!I149</f>
        <v>0</v>
      </c>
      <c r="E168" s="542" t="str">
        <f>'Wrksht. H, CWIP Desc. EKS'!E148</f>
        <v>O</v>
      </c>
      <c r="F168" s="541"/>
      <c r="G168" s="546">
        <f t="shared" ref="G168:G175" si="14">IF(H168=0,D168,0)</f>
        <v>0</v>
      </c>
      <c r="H168" s="546">
        <f t="shared" si="12"/>
        <v>0</v>
      </c>
      <c r="I168" s="544"/>
      <c r="J168" s="545" t="str">
        <f>'Wrksht. H, CWIP Desc. EKS'!F148</f>
        <v>PULVERIZER BOWL REMFG</v>
      </c>
    </row>
    <row r="169" spans="1:10">
      <c r="A169" s="618">
        <f t="shared" si="13"/>
        <v>139</v>
      </c>
      <c r="B169" s="539" t="str">
        <f>'Wrksht. H, CWIP Desc. EKS'!B149</f>
        <v>1070002</v>
      </c>
      <c r="C169" s="540" t="str">
        <f>'Wrksht. H, CWIP Desc. EKS'!C149</f>
        <v xml:space="preserve"> 7209332</v>
      </c>
      <c r="D169" s="546">
        <f>'Wrksht. I, CWIP AFUDC Cre. EKS'!I150</f>
        <v>0</v>
      </c>
      <c r="E169" s="542" t="str">
        <f>'Wrksht. H, CWIP Desc. EKS'!E149</f>
        <v>PC</v>
      </c>
      <c r="F169" s="541"/>
      <c r="G169" s="546">
        <f t="shared" si="14"/>
        <v>0</v>
      </c>
      <c r="H169" s="546">
        <v>0</v>
      </c>
      <c r="I169" s="544"/>
      <c r="J169" s="545" t="str">
        <f>'Wrksht. H, CWIP Desc. EKS'!F149</f>
        <v>REPLACE CEM NOX ANALYZER</v>
      </c>
    </row>
    <row r="170" spans="1:10">
      <c r="A170" s="618">
        <f t="shared" si="13"/>
        <v>140</v>
      </c>
      <c r="B170" s="539" t="str">
        <f>'Wrksht. H, CWIP Desc. EKS'!B150</f>
        <v>1070002</v>
      </c>
      <c r="C170" s="540" t="str">
        <f>'Wrksht. H, CWIP Desc. EKS'!C150</f>
        <v xml:space="preserve"> A00129</v>
      </c>
      <c r="D170" s="546">
        <f>'Wrksht. I, CWIP AFUDC Cre. EKS'!I151</f>
        <v>0</v>
      </c>
      <c r="E170" s="542" t="str">
        <f>'Wrksht. H, CWIP Desc. EKS'!E150</f>
        <v>O</v>
      </c>
      <c r="F170" s="541"/>
      <c r="G170" s="546">
        <f t="shared" si="14"/>
        <v>0</v>
      </c>
      <c r="H170" s="546">
        <f t="shared" si="12"/>
        <v>0</v>
      </c>
      <c r="I170" s="544"/>
      <c r="J170" s="545" t="str">
        <f>'Wrksht. H, CWIP Desc. EKS'!F150</f>
        <v>LACYGNE #1 FEEDWATER HEATER 1A RE</v>
      </c>
    </row>
    <row r="171" spans="1:10">
      <c r="A171" s="619">
        <f t="shared" si="13"/>
        <v>141</v>
      </c>
      <c r="B171" s="539" t="str">
        <f>'Wrksht. H, CWIP Desc. EKS'!B151</f>
        <v>1070002</v>
      </c>
      <c r="C171" s="540" t="str">
        <f>'Wrksht. H, CWIP Desc. EKS'!C151</f>
        <v xml:space="preserve"> A00176</v>
      </c>
      <c r="D171" s="546">
        <f>'Wrksht. I, CWIP AFUDC Cre. EKS'!I152</f>
        <v>0</v>
      </c>
      <c r="E171" s="542" t="str">
        <f>'Wrksht. H, CWIP Desc. EKS'!E151</f>
        <v>O</v>
      </c>
      <c r="F171" s="541"/>
      <c r="G171" s="546">
        <f t="shared" si="14"/>
        <v>0</v>
      </c>
      <c r="H171" s="546">
        <f t="shared" si="12"/>
        <v>0</v>
      </c>
      <c r="I171" s="544"/>
      <c r="J171" s="545" t="str">
        <f>'Wrksht. H, CWIP Desc. EKS'!F151</f>
        <v>LACYGNE #2 - PRECIP AREA BRIDGE CRANE</v>
      </c>
    </row>
    <row r="172" spans="1:10">
      <c r="A172" s="619">
        <f t="shared" si="13"/>
        <v>142</v>
      </c>
      <c r="B172" s="539" t="str">
        <f>'Wrksht. H, CWIP Desc. EKS'!B152</f>
        <v>1070002</v>
      </c>
      <c r="C172" s="540" t="str">
        <f>'Wrksht. H, CWIP Desc. EKS'!C152</f>
        <v xml:space="preserve"> A02970</v>
      </c>
      <c r="D172" s="546">
        <f>'Wrksht. I, CWIP AFUDC Cre. EKS'!I153</f>
        <v>0</v>
      </c>
      <c r="E172" s="542" t="str">
        <f>'Wrksht. H, CWIP Desc. EKS'!E152</f>
        <v>O</v>
      </c>
      <c r="F172" s="541"/>
      <c r="G172" s="546">
        <f t="shared" si="14"/>
        <v>0</v>
      </c>
      <c r="H172" s="546">
        <f t="shared" si="12"/>
        <v>0</v>
      </c>
      <c r="I172" s="544"/>
      <c r="J172" s="545" t="str">
        <f>'Wrksht. H, CWIP Desc. EKS'!F152</f>
        <v>DEAERATOR REPLACEMENT</v>
      </c>
    </row>
    <row r="173" spans="1:10">
      <c r="A173" s="619">
        <f t="shared" si="13"/>
        <v>143</v>
      </c>
      <c r="B173" s="539" t="str">
        <f>'Wrksht. H, CWIP Desc. EKS'!B153</f>
        <v>1070002</v>
      </c>
      <c r="C173" s="540" t="str">
        <f>'Wrksht. H, CWIP Desc. EKS'!C153</f>
        <v xml:space="preserve"> B02819</v>
      </c>
      <c r="D173" s="546">
        <f>'Wrksht. I, CWIP AFUDC Cre. EKS'!I154</f>
        <v>0</v>
      </c>
      <c r="E173" s="542" t="str">
        <f>'Wrksht. H, CWIP Desc. EKS'!E153</f>
        <v>O</v>
      </c>
      <c r="F173" s="541"/>
      <c r="G173" s="546">
        <f t="shared" si="14"/>
        <v>0</v>
      </c>
      <c r="H173" s="546">
        <f t="shared" si="12"/>
        <v>0</v>
      </c>
      <c r="I173" s="544"/>
      <c r="J173" s="545" t="str">
        <f>'Wrksht. H, CWIP Desc. EKS'!F153</f>
        <v>SOOTBLOWER STUDY</v>
      </c>
    </row>
    <row r="174" spans="1:10">
      <c r="A174" s="619">
        <f t="shared" si="13"/>
        <v>144</v>
      </c>
      <c r="B174" s="539" t="str">
        <f>'Wrksht. H, CWIP Desc. EKS'!B154</f>
        <v>1070002</v>
      </c>
      <c r="C174" s="540" t="str">
        <f>'Wrksht. H, CWIP Desc. EKS'!C154</f>
        <v xml:space="preserve"> C10100</v>
      </c>
      <c r="D174" s="546">
        <f>'Wrksht. I, CWIP AFUDC Cre. EKS'!I155</f>
        <v>0</v>
      </c>
      <c r="E174" s="542" t="str">
        <f>'Wrksht. H, CWIP Desc. EKS'!E154</f>
        <v>O</v>
      </c>
      <c r="F174" s="541"/>
      <c r="G174" s="546">
        <f t="shared" si="14"/>
        <v>0</v>
      </c>
      <c r="H174" s="546">
        <f t="shared" si="12"/>
        <v>0</v>
      </c>
      <c r="I174" s="544"/>
      <c r="J174" s="545" t="str">
        <f>'Wrksht. H, CWIP Desc. EKS'!F154</f>
        <v>EASEMENT SALE</v>
      </c>
    </row>
    <row r="175" spans="1:10">
      <c r="A175" s="619">
        <f t="shared" si="13"/>
        <v>145</v>
      </c>
      <c r="B175" s="539" t="str">
        <f>'Wrksht. H, CWIP Desc. EKS'!B155</f>
        <v>1070002</v>
      </c>
      <c r="C175" s="540" t="str">
        <f>'Wrksht. H, CWIP Desc. EKS'!C155</f>
        <v xml:space="preserve"> A11738</v>
      </c>
      <c r="D175" s="546">
        <f>'Wrksht. I, CWIP AFUDC Cre. EKS'!I156</f>
        <v>0</v>
      </c>
      <c r="E175" s="542" t="str">
        <f>'Wrksht. H, CWIP Desc. EKS'!E155</f>
        <v>PC</v>
      </c>
      <c r="F175" s="546"/>
      <c r="G175" s="546">
        <f t="shared" si="14"/>
        <v>0</v>
      </c>
      <c r="H175" s="546">
        <v>0</v>
      </c>
      <c r="I175" s="544"/>
      <c r="J175" s="545" t="str">
        <f>'Wrksht. H, CWIP Desc. EKS'!F155</f>
        <v>JEC SCRUBBERS ACCRUAL</v>
      </c>
    </row>
    <row r="176" spans="1:10">
      <c r="A176" s="618">
        <f t="shared" si="13"/>
        <v>146</v>
      </c>
      <c r="B176" s="539">
        <f>'Wrksht. H, CWIP Desc. EKS'!B156</f>
        <v>1070004</v>
      </c>
      <c r="C176" s="540" t="str">
        <f>'Wrksht. H, CWIP Desc. EKS'!C156</f>
        <v>003467</v>
      </c>
      <c r="D176" s="546">
        <f>'Wrksht. I, CWIP AFUDC Cre. EKS'!I157</f>
        <v>0</v>
      </c>
      <c r="E176" s="542" t="str">
        <f>'Wrksht. H, CWIP Desc. EKS'!E156</f>
        <v>O</v>
      </c>
      <c r="F176" s="546"/>
      <c r="G176" s="546">
        <f t="shared" ref="G176:G254" si="15">IF(H176=0,D176,0)</f>
        <v>0</v>
      </c>
      <c r="H176" s="546">
        <f t="shared" si="12"/>
        <v>0</v>
      </c>
      <c r="I176" s="544"/>
      <c r="J176" s="545" t="str">
        <f>'Wrksht. H, CWIP Desc. EKS'!F156</f>
        <v>ESWS INTL PIPE CTG/ACS VAULTS &amp; PIPE</v>
      </c>
    </row>
    <row r="177" spans="1:10">
      <c r="A177" s="619">
        <f t="shared" si="13"/>
        <v>147</v>
      </c>
      <c r="B177" s="539">
        <f>'Wrksht. H, CWIP Desc. EKS'!B157</f>
        <v>1070004</v>
      </c>
      <c r="C177" s="540" t="str">
        <f>'Wrksht. H, CWIP Desc. EKS'!C157</f>
        <v>003812</v>
      </c>
      <c r="D177" s="546">
        <f>'Wrksht. I, CWIP AFUDC Cre. EKS'!I158</f>
        <v>0</v>
      </c>
      <c r="E177" s="542" t="str">
        <f>'Wrksht. H, CWIP Desc. EKS'!E157</f>
        <v>O</v>
      </c>
      <c r="F177" s="546"/>
      <c r="G177" s="546">
        <f t="shared" si="15"/>
        <v>0</v>
      </c>
      <c r="H177" s="546">
        <f t="shared" si="12"/>
        <v>0</v>
      </c>
      <c r="I177" s="544"/>
      <c r="J177" s="545" t="str">
        <f>'Wrksht. H, CWIP Desc. EKS'!F157</f>
        <v>CHANGE LEVEL SWITCHES ON DETERGENT</v>
      </c>
    </row>
    <row r="178" spans="1:10">
      <c r="A178" s="619">
        <f t="shared" si="13"/>
        <v>148</v>
      </c>
      <c r="B178" s="539">
        <f>'Wrksht. H, CWIP Desc. EKS'!B158</f>
        <v>1070004</v>
      </c>
      <c r="C178" s="540" t="str">
        <f>'Wrksht. H, CWIP Desc. EKS'!C158</f>
        <v>004581</v>
      </c>
      <c r="D178" s="546">
        <f>'Wrksht. I, CWIP AFUDC Cre. EKS'!I159</f>
        <v>0</v>
      </c>
      <c r="E178" s="542" t="str">
        <f>'Wrksht. H, CWIP Desc. EKS'!E158</f>
        <v>O</v>
      </c>
      <c r="F178" s="546"/>
      <c r="G178" s="546">
        <f t="shared" si="15"/>
        <v>0</v>
      </c>
      <c r="H178" s="546">
        <f t="shared" si="12"/>
        <v>0</v>
      </c>
      <c r="I178" s="544"/>
      <c r="J178" s="545" t="str">
        <f>'Wrksht. H, CWIP Desc. EKS'!F158</f>
        <v>SNUBBER REDUCTION USING LIMITED STOP</v>
      </c>
    </row>
    <row r="179" spans="1:10">
      <c r="A179" s="619">
        <f t="shared" si="13"/>
        <v>149</v>
      </c>
      <c r="B179" s="539">
        <f>'Wrksht. H, CWIP Desc. EKS'!B159</f>
        <v>1070004</v>
      </c>
      <c r="C179" s="540" t="str">
        <f>'Wrksht. H, CWIP Desc. EKS'!C159</f>
        <v>005657</v>
      </c>
      <c r="D179" s="546">
        <f>'Wrksht. I, CWIP AFUDC Cre. EKS'!I160</f>
        <v>0</v>
      </c>
      <c r="E179" s="542" t="str">
        <f>'Wrksht. H, CWIP Desc. EKS'!E159</f>
        <v>O</v>
      </c>
      <c r="F179" s="546"/>
      <c r="G179" s="546">
        <f t="shared" si="15"/>
        <v>0</v>
      </c>
      <c r="H179" s="546">
        <f t="shared" si="12"/>
        <v>0</v>
      </c>
      <c r="I179" s="544"/>
      <c r="J179" s="545" t="str">
        <f>'Wrksht. H, CWIP Desc. EKS'!F159</f>
        <v>QF EMERGENCY POWER SUPPLY</v>
      </c>
    </row>
    <row r="180" spans="1:10">
      <c r="A180" s="619">
        <f t="shared" si="13"/>
        <v>150</v>
      </c>
      <c r="B180" s="539">
        <f>'Wrksht. H, CWIP Desc. EKS'!B160</f>
        <v>1070004</v>
      </c>
      <c r="C180" s="540" t="str">
        <f>'Wrksht. H, CWIP Desc. EKS'!C160</f>
        <v>005945</v>
      </c>
      <c r="D180" s="546">
        <f>'Wrksht. I, CWIP AFUDC Cre. EKS'!I161</f>
        <v>0</v>
      </c>
      <c r="E180" s="542" t="str">
        <f>'Wrksht. H, CWIP Desc. EKS'!E160</f>
        <v>O</v>
      </c>
      <c r="F180" s="546"/>
      <c r="G180" s="546">
        <f t="shared" si="15"/>
        <v>0</v>
      </c>
      <c r="H180" s="546">
        <f t="shared" si="12"/>
        <v>0</v>
      </c>
      <c r="I180" s="544"/>
      <c r="J180" s="545" t="str">
        <f>'Wrksht. H, CWIP Desc. EKS'!F160</f>
        <v>HIGH/LOW TDS FLOWMETER</v>
      </c>
    </row>
    <row r="181" spans="1:10" ht="20.399999999999999">
      <c r="A181" s="1740" t="s">
        <v>2998</v>
      </c>
      <c r="B181" s="1740"/>
      <c r="C181" s="1741"/>
      <c r="D181" s="1741"/>
      <c r="E181" s="1741"/>
      <c r="F181" s="1741"/>
      <c r="G181" s="1741"/>
      <c r="H181" s="1741"/>
      <c r="I181" s="1741"/>
      <c r="J181" s="1741"/>
    </row>
    <row r="182" spans="1:10" ht="19.2">
      <c r="A182" s="1742" t="str">
        <f>A2</f>
        <v>For Contract Year Beginning June 1, 2024, Based on 2023 Data</v>
      </c>
      <c r="B182" s="1742"/>
      <c r="C182" s="1743"/>
      <c r="D182" s="1743"/>
      <c r="E182" s="1743"/>
      <c r="F182" s="1743"/>
      <c r="G182" s="1743"/>
      <c r="H182" s="1743"/>
      <c r="I182" s="1743"/>
      <c r="J182" s="1743"/>
    </row>
    <row r="183" spans="1:10">
      <c r="A183" s="485"/>
      <c r="B183" s="1278" t="s">
        <v>476</v>
      </c>
      <c r="C183" s="486"/>
      <c r="D183" s="486"/>
      <c r="E183" s="486"/>
      <c r="F183" s="486"/>
      <c r="G183" s="486"/>
      <c r="H183" s="487"/>
      <c r="I183" s="486"/>
      <c r="J183" s="486"/>
    </row>
    <row r="184" spans="1:10">
      <c r="A184" s="485"/>
      <c r="B184" s="485"/>
      <c r="C184" s="487"/>
      <c r="D184" s="763" t="s">
        <v>480</v>
      </c>
      <c r="E184" s="763" t="s">
        <v>481</v>
      </c>
      <c r="F184" s="763" t="s">
        <v>482</v>
      </c>
      <c r="G184" s="763" t="s">
        <v>483</v>
      </c>
      <c r="H184" s="763" t="s">
        <v>484</v>
      </c>
      <c r="I184" s="763" t="s">
        <v>884</v>
      </c>
      <c r="J184" s="763" t="s">
        <v>485</v>
      </c>
    </row>
    <row r="185" spans="1:10">
      <c r="A185" s="485"/>
      <c r="B185" s="485"/>
      <c r="C185" s="486"/>
      <c r="D185" s="764" t="s">
        <v>1545</v>
      </c>
      <c r="E185" s="765" t="s">
        <v>1578</v>
      </c>
      <c r="F185" s="766"/>
      <c r="G185" s="765">
        <v>1</v>
      </c>
      <c r="H185" s="765">
        <v>0.5</v>
      </c>
      <c r="I185" s="763" t="s">
        <v>468</v>
      </c>
      <c r="J185" s="764" t="s">
        <v>476</v>
      </c>
    </row>
    <row r="186" spans="1:10">
      <c r="A186" s="485"/>
      <c r="B186" s="485"/>
      <c r="C186" s="486"/>
      <c r="D186" s="764" t="s">
        <v>1568</v>
      </c>
      <c r="E186" s="763" t="s">
        <v>1583</v>
      </c>
      <c r="F186" s="763"/>
      <c r="G186" s="763" t="s">
        <v>116</v>
      </c>
      <c r="H186" s="763" t="s">
        <v>116</v>
      </c>
      <c r="I186" s="763" t="s">
        <v>1079</v>
      </c>
      <c r="J186" s="764" t="s">
        <v>15</v>
      </c>
    </row>
    <row r="187" spans="1:10">
      <c r="A187" s="485"/>
      <c r="B187" s="485"/>
      <c r="C187" s="486"/>
      <c r="D187" s="764" t="s">
        <v>1569</v>
      </c>
      <c r="E187" s="764" t="s">
        <v>221</v>
      </c>
      <c r="F187" s="763"/>
      <c r="G187" s="763" t="s">
        <v>1584</v>
      </c>
      <c r="H187" s="763" t="s">
        <v>1585</v>
      </c>
      <c r="I187" s="763" t="s">
        <v>299</v>
      </c>
      <c r="J187" s="764"/>
    </row>
    <row r="188" spans="1:10">
      <c r="A188" s="485"/>
      <c r="B188" s="485"/>
      <c r="C188" s="522"/>
      <c r="D188" s="763" t="s">
        <v>1949</v>
      </c>
      <c r="E188" s="764"/>
      <c r="F188" s="769"/>
      <c r="G188" s="511"/>
      <c r="H188" s="511"/>
      <c r="I188" s="770"/>
      <c r="J188" s="770"/>
    </row>
    <row r="189" spans="1:10">
      <c r="A189" s="485"/>
      <c r="B189" s="485"/>
      <c r="C189" s="522"/>
      <c r="D189" s="496"/>
      <c r="E189" s="497"/>
      <c r="F189" s="498"/>
      <c r="G189" s="767"/>
      <c r="H189" s="767"/>
      <c r="I189" s="486"/>
      <c r="J189" s="486"/>
    </row>
    <row r="190" spans="1:10">
      <c r="A190" s="499" t="s">
        <v>531</v>
      </c>
      <c r="B190" s="500" t="s">
        <v>1078</v>
      </c>
      <c r="C190" s="501" t="s">
        <v>1077</v>
      </c>
      <c r="D190" s="528"/>
      <c r="E190" s="528"/>
      <c r="F190" s="528"/>
      <c r="G190" s="528"/>
      <c r="H190" s="528"/>
      <c r="I190" s="508"/>
      <c r="J190" s="484"/>
    </row>
    <row r="191" spans="1:10">
      <c r="A191" s="619">
        <f>A180+1</f>
        <v>151</v>
      </c>
      <c r="B191" s="539">
        <f>'Wrksht. H, CWIP Desc. EKS'!B161</f>
        <v>1070004</v>
      </c>
      <c r="C191" s="540" t="str">
        <f>'Wrksht. H, CWIP Desc. EKS'!C161</f>
        <v>009819</v>
      </c>
      <c r="D191" s="546">
        <f>'Wrksht. I, CWIP AFUDC Cre. EKS'!I162</f>
        <v>0</v>
      </c>
      <c r="E191" s="542" t="str">
        <f>'Wrksht. H, CWIP Desc. EKS'!E161</f>
        <v>O</v>
      </c>
      <c r="F191" s="546"/>
      <c r="G191" s="546">
        <f t="shared" si="15"/>
        <v>0</v>
      </c>
      <c r="H191" s="546">
        <f t="shared" si="12"/>
        <v>0</v>
      </c>
      <c r="I191" s="544"/>
      <c r="J191" s="545" t="str">
        <f>'Wrksht. H, CWIP Desc. EKS'!F161</f>
        <v>TURBINE/TURBINE GENERATOR STUDY</v>
      </c>
    </row>
    <row r="192" spans="1:10">
      <c r="A192" s="618">
        <f>A191+1</f>
        <v>152</v>
      </c>
      <c r="B192" s="539">
        <f>'Wrksht. H, CWIP Desc. EKS'!B162</f>
        <v>1070004</v>
      </c>
      <c r="C192" s="540" t="str">
        <f>'Wrksht. H, CWIP Desc. EKS'!C162</f>
        <v>009890</v>
      </c>
      <c r="D192" s="546">
        <f>'Wrksht. I, CWIP AFUDC Cre. EKS'!I163</f>
        <v>0</v>
      </c>
      <c r="E192" s="542" t="str">
        <f>'Wrksht. H, CWIP Desc. EKS'!E162</f>
        <v>O</v>
      </c>
      <c r="F192" s="546"/>
      <c r="G192" s="546">
        <f t="shared" si="15"/>
        <v>0</v>
      </c>
      <c r="H192" s="546">
        <f t="shared" si="12"/>
        <v>0</v>
      </c>
      <c r="I192" s="544"/>
      <c r="J192" s="545" t="str">
        <f>'Wrksht. H, CWIP Desc. EKS'!F162</f>
        <v>BIOCIDE LOW PRESSURE NEAT FEED TO SW/CW</v>
      </c>
    </row>
    <row r="193" spans="1:10">
      <c r="A193" s="619">
        <f t="shared" si="13"/>
        <v>153</v>
      </c>
      <c r="B193" s="539">
        <f>'Wrksht. H, CWIP Desc. EKS'!B163</f>
        <v>1070004</v>
      </c>
      <c r="C193" s="540" t="str">
        <f>'Wrksht. H, CWIP Desc. EKS'!C163</f>
        <v>010279</v>
      </c>
      <c r="D193" s="546">
        <f>'Wrksht. I, CWIP AFUDC Cre. EKS'!I164</f>
        <v>0</v>
      </c>
      <c r="E193" s="542" t="str">
        <f>'Wrksht. H, CWIP Desc. EKS'!E163</f>
        <v>O</v>
      </c>
      <c r="F193" s="546"/>
      <c r="G193" s="546">
        <f t="shared" si="15"/>
        <v>0</v>
      </c>
      <c r="H193" s="546">
        <f t="shared" si="12"/>
        <v>0</v>
      </c>
      <c r="I193" s="544"/>
      <c r="J193" s="545" t="str">
        <f>'Wrksht. H, CWIP Desc. EKS'!F163</f>
        <v>CAN01A&amp;B REPLACEMENTS</v>
      </c>
    </row>
    <row r="194" spans="1:10">
      <c r="A194" s="619">
        <f t="shared" si="13"/>
        <v>154</v>
      </c>
      <c r="B194" s="539">
        <f>'Wrksht. H, CWIP Desc. EKS'!B164</f>
        <v>1070004</v>
      </c>
      <c r="C194" s="540" t="str">
        <f>'Wrksht. H, CWIP Desc. EKS'!C164</f>
        <v>011018</v>
      </c>
      <c r="D194" s="546">
        <f>'Wrksht. I, CWIP AFUDC Cre. EKS'!I165</f>
        <v>0</v>
      </c>
      <c r="E194" s="542" t="str">
        <f>'Wrksht. H, CWIP Desc. EKS'!E164</f>
        <v>O</v>
      </c>
      <c r="F194" s="546"/>
      <c r="G194" s="546">
        <f t="shared" si="15"/>
        <v>0</v>
      </c>
      <c r="H194" s="546">
        <f t="shared" si="12"/>
        <v>0</v>
      </c>
      <c r="I194" s="544"/>
      <c r="J194" s="545" t="str">
        <f>'Wrksht. H, CWIP Desc. EKS'!F164</f>
        <v>CAMERA ADDITION FOR SAF OUTSIDE ISO</v>
      </c>
    </row>
    <row r="195" spans="1:10">
      <c r="A195" s="619">
        <f t="shared" si="13"/>
        <v>155</v>
      </c>
      <c r="B195" s="539">
        <f>'Wrksht. H, CWIP Desc. EKS'!B165</f>
        <v>1070004</v>
      </c>
      <c r="C195" s="540" t="str">
        <f>'Wrksht. H, CWIP Desc. EKS'!C165</f>
        <v>011347</v>
      </c>
      <c r="D195" s="546">
        <f>'Wrksht. I, CWIP AFUDC Cre. EKS'!I166</f>
        <v>0</v>
      </c>
      <c r="E195" s="542" t="str">
        <f>'Wrksht. H, CWIP Desc. EKS'!E165</f>
        <v>O</v>
      </c>
      <c r="F195" s="546"/>
      <c r="G195" s="546">
        <f t="shared" si="15"/>
        <v>0</v>
      </c>
      <c r="H195" s="546">
        <f t="shared" si="12"/>
        <v>0</v>
      </c>
      <c r="I195" s="544"/>
      <c r="J195" s="545" t="str">
        <f>'Wrksht. H, CWIP Desc. EKS'!F165</f>
        <v>DCS CONVERSION OF SECONDARY PLANT</v>
      </c>
    </row>
    <row r="196" spans="1:10" ht="26.4">
      <c r="A196" s="619">
        <f t="shared" si="13"/>
        <v>156</v>
      </c>
      <c r="B196" s="539">
        <f>'Wrksht. H, CWIP Desc. EKS'!B166</f>
        <v>1070004</v>
      </c>
      <c r="C196" s="540" t="str">
        <f>'Wrksht. H, CWIP Desc. EKS'!C166</f>
        <v>011354</v>
      </c>
      <c r="D196" s="546">
        <f>'Wrksht. I, CWIP AFUDC Cre. EKS'!I167</f>
        <v>0</v>
      </c>
      <c r="E196" s="542" t="str">
        <f>'Wrksht. H, CWIP Desc. EKS'!E166</f>
        <v>O</v>
      </c>
      <c r="F196" s="546"/>
      <c r="G196" s="546">
        <f t="shared" si="15"/>
        <v>0</v>
      </c>
      <c r="H196" s="546">
        <f t="shared" si="12"/>
        <v>0</v>
      </c>
      <c r="I196" s="544"/>
      <c r="J196" s="545" t="str">
        <f>'Wrksht. H, CWIP Desc. EKS'!F166</f>
        <v>SECONDARY SIDE UPRATE - INCREASE THE OUTPUT.  TURBINE ROTOR REPLACMENT - SECONDARY</v>
      </c>
    </row>
    <row r="197" spans="1:10">
      <c r="A197" s="619">
        <f t="shared" si="13"/>
        <v>157</v>
      </c>
      <c r="B197" s="539">
        <f>'Wrksht. H, CWIP Desc. EKS'!B167</f>
        <v>1070004</v>
      </c>
      <c r="C197" s="540" t="str">
        <f>'Wrksht. H, CWIP Desc. EKS'!C167</f>
        <v>011373</v>
      </c>
      <c r="D197" s="546">
        <f>'Wrksht. I, CWIP AFUDC Cre. EKS'!I168</f>
        <v>0</v>
      </c>
      <c r="E197" s="542" t="str">
        <f>'Wrksht. H, CWIP Desc. EKS'!E167</f>
        <v>O</v>
      </c>
      <c r="F197" s="546"/>
      <c r="G197" s="546">
        <f t="shared" si="15"/>
        <v>0</v>
      </c>
      <c r="H197" s="546">
        <f t="shared" si="12"/>
        <v>0</v>
      </c>
      <c r="I197" s="544"/>
      <c r="J197" s="545" t="str">
        <f>'Wrksht. H, CWIP Desc. EKS'!F167</f>
        <v>MAIN FEEDWATER PUMP - DCS CONVERSION</v>
      </c>
    </row>
    <row r="198" spans="1:10">
      <c r="A198" s="619">
        <f t="shared" si="13"/>
        <v>158</v>
      </c>
      <c r="B198" s="539">
        <f>'Wrksht. H, CWIP Desc. EKS'!B168</f>
        <v>1070004</v>
      </c>
      <c r="C198" s="540" t="str">
        <f>'Wrksht. H, CWIP Desc. EKS'!C168</f>
        <v>011415</v>
      </c>
      <c r="D198" s="546">
        <f>'Wrksht. I, CWIP AFUDC Cre. EKS'!I169</f>
        <v>0</v>
      </c>
      <c r="E198" s="542" t="str">
        <f>'Wrksht. H, CWIP Desc. EKS'!E168</f>
        <v>O</v>
      </c>
      <c r="F198" s="546"/>
      <c r="G198" s="546">
        <f t="shared" si="15"/>
        <v>0</v>
      </c>
      <c r="H198" s="546">
        <f t="shared" si="12"/>
        <v>0</v>
      </c>
      <c r="I198" s="544"/>
      <c r="J198" s="545" t="str">
        <f>'Wrksht. H, CWIP Desc. EKS'!F168</f>
        <v>SUPERVISORY SYSTEM REPLACEMENT</v>
      </c>
    </row>
    <row r="199" spans="1:10">
      <c r="A199" s="619">
        <f t="shared" si="13"/>
        <v>159</v>
      </c>
      <c r="B199" s="539">
        <f>'Wrksht. H, CWIP Desc. EKS'!B169</f>
        <v>1070004</v>
      </c>
      <c r="C199" s="540" t="str">
        <f>'Wrksht. H, CWIP Desc. EKS'!C169</f>
        <v>011504</v>
      </c>
      <c r="D199" s="546">
        <f>'Wrksht. I, CWIP AFUDC Cre. EKS'!I170</f>
        <v>0</v>
      </c>
      <c r="E199" s="542" t="str">
        <f>'Wrksht. H, CWIP Desc. EKS'!E169</f>
        <v>O</v>
      </c>
      <c r="F199" s="546"/>
      <c r="G199" s="546">
        <f t="shared" si="15"/>
        <v>0</v>
      </c>
      <c r="H199" s="546">
        <f t="shared" si="12"/>
        <v>0</v>
      </c>
      <c r="I199" s="544"/>
      <c r="J199" s="545" t="str">
        <f>'Wrksht. H, CWIP Desc. EKS'!F169</f>
        <v>UPRATE SWITCHYARD BREAKERS 345-40.</v>
      </c>
    </row>
    <row r="200" spans="1:10">
      <c r="A200" s="619">
        <f t="shared" si="13"/>
        <v>160</v>
      </c>
      <c r="B200" s="539">
        <f>'Wrksht. H, CWIP Desc. EKS'!B170</f>
        <v>1070004</v>
      </c>
      <c r="C200" s="540" t="str">
        <f>'Wrksht. H, CWIP Desc. EKS'!C170</f>
        <v>011607</v>
      </c>
      <c r="D200" s="546">
        <f>'Wrksht. I, CWIP AFUDC Cre. EKS'!I171</f>
        <v>0</v>
      </c>
      <c r="E200" s="542" t="str">
        <f>'Wrksht. H, CWIP Desc. EKS'!E170</f>
        <v>O</v>
      </c>
      <c r="F200" s="546"/>
      <c r="G200" s="546">
        <f t="shared" si="15"/>
        <v>0</v>
      </c>
      <c r="H200" s="546">
        <f t="shared" si="12"/>
        <v>0</v>
      </c>
      <c r="I200" s="544"/>
      <c r="J200" s="545" t="str">
        <f>'Wrksht. H, CWIP Desc. EKS'!F170</f>
        <v>PERMANENT REFUELING OUTAGE POWER</v>
      </c>
    </row>
    <row r="201" spans="1:10">
      <c r="A201" s="618">
        <f t="shared" si="13"/>
        <v>161</v>
      </c>
      <c r="B201" s="539">
        <f>'Wrksht. H, CWIP Desc. EKS'!B171</f>
        <v>1070004</v>
      </c>
      <c r="C201" s="540" t="str">
        <f>'Wrksht. H, CWIP Desc. EKS'!C171</f>
        <v>011613</v>
      </c>
      <c r="D201" s="546">
        <f>'Wrksht. I, CWIP AFUDC Cre. EKS'!I172</f>
        <v>0</v>
      </c>
      <c r="E201" s="542" t="str">
        <f>'Wrksht. H, CWIP Desc. EKS'!E171</f>
        <v>O</v>
      </c>
      <c r="F201" s="546"/>
      <c r="G201" s="546">
        <f t="shared" si="15"/>
        <v>0</v>
      </c>
      <c r="H201" s="546">
        <f t="shared" si="12"/>
        <v>0</v>
      </c>
      <c r="I201" s="544"/>
      <c r="J201" s="545" t="str">
        <f>'Wrksht. H, CWIP Desc. EKS'!F171</f>
        <v>SEIMIC MONITORING SYSTEM REPLACEMENT</v>
      </c>
    </row>
    <row r="202" spans="1:10">
      <c r="A202" s="619">
        <f t="shared" si="13"/>
        <v>162</v>
      </c>
      <c r="B202" s="539">
        <f>'Wrksht. H, CWIP Desc. EKS'!B172</f>
        <v>1070004</v>
      </c>
      <c r="C202" s="540" t="str">
        <f>'Wrksht. H, CWIP Desc. EKS'!C172</f>
        <v>011868</v>
      </c>
      <c r="D202" s="546">
        <f>'Wrksht. I, CWIP AFUDC Cre. EKS'!I173</f>
        <v>0</v>
      </c>
      <c r="E202" s="542" t="str">
        <f>'Wrksht. H, CWIP Desc. EKS'!E172</f>
        <v>O</v>
      </c>
      <c r="F202" s="546"/>
      <c r="G202" s="546">
        <f t="shared" si="15"/>
        <v>0</v>
      </c>
      <c r="H202" s="546">
        <f t="shared" si="12"/>
        <v>0</v>
      </c>
      <c r="I202" s="544"/>
      <c r="J202" s="545" t="str">
        <f>'Wrksht. H, CWIP Desc. EKS'!F172</f>
        <v>PERMANENT CONTAINMENT OUTAGE POWER</v>
      </c>
    </row>
    <row r="203" spans="1:10">
      <c r="A203" s="618">
        <f t="shared" si="13"/>
        <v>163</v>
      </c>
      <c r="B203" s="539">
        <f>'Wrksht. H, CWIP Desc. EKS'!B173</f>
        <v>1070004</v>
      </c>
      <c r="C203" s="540" t="str">
        <f>'Wrksht. H, CWIP Desc. EKS'!C173</f>
        <v>011904</v>
      </c>
      <c r="D203" s="546">
        <f>'Wrksht. I, CWIP AFUDC Cre. EKS'!I174</f>
        <v>0</v>
      </c>
      <c r="E203" s="542" t="str">
        <f>'Wrksht. H, CWIP Desc. EKS'!E173</f>
        <v>O</v>
      </c>
      <c r="F203" s="546"/>
      <c r="G203" s="546">
        <f t="shared" si="15"/>
        <v>0</v>
      </c>
      <c r="H203" s="546">
        <f t="shared" si="12"/>
        <v>0</v>
      </c>
      <c r="I203" s="544"/>
      <c r="J203" s="545" t="str">
        <f>'Wrksht. H, CWIP Desc. EKS'!F173</f>
        <v>MAIN TRANSFORMER UPRATE</v>
      </c>
    </row>
    <row r="204" spans="1:10">
      <c r="A204" s="619">
        <f t="shared" si="13"/>
        <v>164</v>
      </c>
      <c r="B204" s="539">
        <f>'Wrksht. H, CWIP Desc. EKS'!B174</f>
        <v>1070004</v>
      </c>
      <c r="C204" s="540" t="str">
        <f>'Wrksht. H, CWIP Desc. EKS'!C174</f>
        <v>012135</v>
      </c>
      <c r="D204" s="546">
        <f>'Wrksht. I, CWIP AFUDC Cre. EKS'!I175</f>
        <v>0</v>
      </c>
      <c r="E204" s="542" t="str">
        <f>'Wrksht. H, CWIP Desc. EKS'!E174</f>
        <v>O</v>
      </c>
      <c r="F204" s="546"/>
      <c r="G204" s="546">
        <f t="shared" si="15"/>
        <v>0</v>
      </c>
      <c r="H204" s="546">
        <f t="shared" si="12"/>
        <v>0</v>
      </c>
      <c r="I204" s="544"/>
      <c r="J204" s="545" t="str">
        <f>'Wrksht. H, CWIP Desc. EKS'!F174</f>
        <v>TURBINE SUPERVISORY INSTRUMENTATION</v>
      </c>
    </row>
    <row r="205" spans="1:10">
      <c r="A205" s="619">
        <f t="shared" si="13"/>
        <v>165</v>
      </c>
      <c r="B205" s="539">
        <f>'Wrksht. H, CWIP Desc. EKS'!B175</f>
        <v>1070004</v>
      </c>
      <c r="C205" s="540" t="str">
        <f>'Wrksht. H, CWIP Desc. EKS'!C175</f>
        <v>012192</v>
      </c>
      <c r="D205" s="546">
        <f>'Wrksht. I, CWIP AFUDC Cre. EKS'!I176</f>
        <v>0</v>
      </c>
      <c r="E205" s="542" t="str">
        <f>'Wrksht. H, CWIP Desc. EKS'!E175</f>
        <v>O</v>
      </c>
      <c r="F205" s="546"/>
      <c r="G205" s="546">
        <f t="shared" si="15"/>
        <v>0</v>
      </c>
      <c r="H205" s="546">
        <f t="shared" si="12"/>
        <v>0</v>
      </c>
      <c r="I205" s="544"/>
      <c r="J205" s="545" t="str">
        <f>'Wrksht. H, CWIP Desc. EKS'!F175</f>
        <v>MCC PG19G AND PG19N CUBICLE REPLACEMENTS</v>
      </c>
    </row>
    <row r="206" spans="1:10">
      <c r="A206" s="619">
        <f t="shared" si="13"/>
        <v>166</v>
      </c>
      <c r="B206" s="539">
        <f>'Wrksht. H, CWIP Desc. EKS'!B176</f>
        <v>1070004</v>
      </c>
      <c r="C206" s="540" t="str">
        <f>'Wrksht. H, CWIP Desc. EKS'!C176</f>
        <v>012327</v>
      </c>
      <c r="D206" s="546">
        <f>'Wrksht. I, CWIP AFUDC Cre. EKS'!I177</f>
        <v>-4115.6000000000004</v>
      </c>
      <c r="E206" s="542" t="str">
        <f>'Wrksht. H, CWIP Desc. EKS'!E176</f>
        <v>O</v>
      </c>
      <c r="F206" s="546"/>
      <c r="G206" s="546">
        <f t="shared" si="15"/>
        <v>0</v>
      </c>
      <c r="H206" s="546">
        <f t="shared" si="12"/>
        <v>-2057.8000000000002</v>
      </c>
      <c r="I206" s="544"/>
      <c r="J206" s="545" t="str">
        <f>'Wrksht. H, CWIP Desc. EKS'!F176</f>
        <v>LOAD SHEDDER AND EMERGENCY LOAD SEQ</v>
      </c>
    </row>
    <row r="207" spans="1:10">
      <c r="A207" s="619">
        <f t="shared" si="13"/>
        <v>167</v>
      </c>
      <c r="B207" s="539">
        <f>'Wrksht. H, CWIP Desc. EKS'!B177</f>
        <v>1070004</v>
      </c>
      <c r="C207" s="540" t="str">
        <f>'Wrksht. H, CWIP Desc. EKS'!C177</f>
        <v>012348</v>
      </c>
      <c r="D207" s="546">
        <f>'Wrksht. I, CWIP AFUDC Cre. EKS'!I178</f>
        <v>0</v>
      </c>
      <c r="E207" s="542" t="str">
        <f>'Wrksht. H, CWIP Desc. EKS'!E177</f>
        <v>O</v>
      </c>
      <c r="F207" s="546"/>
      <c r="G207" s="546">
        <f t="shared" si="15"/>
        <v>0</v>
      </c>
      <c r="H207" s="546">
        <f t="shared" si="12"/>
        <v>0</v>
      </c>
      <c r="I207" s="544"/>
      <c r="J207" s="545" t="str">
        <f>'Wrksht. H, CWIP Desc. EKS'!F177</f>
        <v>REPLACE SERVICE WATER SYSTEM FLOW ORIFICES</v>
      </c>
    </row>
    <row r="208" spans="1:10">
      <c r="A208" s="618">
        <f t="shared" si="13"/>
        <v>168</v>
      </c>
      <c r="B208" s="539">
        <f>'Wrksht. H, CWIP Desc. EKS'!B178</f>
        <v>1070004</v>
      </c>
      <c r="C208" s="540" t="str">
        <f>'Wrksht. H, CWIP Desc. EKS'!C178</f>
        <v>012366</v>
      </c>
      <c r="D208" s="546">
        <f>'Wrksht. I, CWIP AFUDC Cre. EKS'!I179</f>
        <v>0</v>
      </c>
      <c r="E208" s="542" t="str">
        <f>'Wrksht. H, CWIP Desc. EKS'!E178</f>
        <v>O</v>
      </c>
      <c r="F208" s="546"/>
      <c r="G208" s="546">
        <f t="shared" si="15"/>
        <v>0</v>
      </c>
      <c r="H208" s="546">
        <f t="shared" si="12"/>
        <v>0</v>
      </c>
      <c r="I208" s="544"/>
      <c r="J208" s="545" t="str">
        <f>'Wrksht. H, CWIP Desc. EKS'!F178</f>
        <v>IMPROVED VALVE DESIGN FOR KCHV0253</v>
      </c>
    </row>
    <row r="209" spans="1:10">
      <c r="A209" s="618">
        <f t="shared" si="13"/>
        <v>169</v>
      </c>
      <c r="B209" s="539">
        <f>'Wrksht. H, CWIP Desc. EKS'!B179</f>
        <v>1070004</v>
      </c>
      <c r="C209" s="540" t="str">
        <f>'Wrksht. H, CWIP Desc. EKS'!C179</f>
        <v>012413</v>
      </c>
      <c r="D209" s="546">
        <f>'Wrksht. I, CWIP AFUDC Cre. EKS'!I180</f>
        <v>0</v>
      </c>
      <c r="E209" s="542" t="str">
        <f>'Wrksht. H, CWIP Desc. EKS'!E179</f>
        <v>O</v>
      </c>
      <c r="F209" s="546"/>
      <c r="G209" s="546">
        <f t="shared" si="15"/>
        <v>0</v>
      </c>
      <c r="H209" s="546">
        <f t="shared" si="12"/>
        <v>0</v>
      </c>
      <c r="I209" s="544"/>
      <c r="J209" s="545" t="str">
        <f>'Wrksht. H, CWIP Desc. EKS'!F179</f>
        <v>"B" ESW STRAINER CHANGE OUT</v>
      </c>
    </row>
    <row r="210" spans="1:10">
      <c r="A210" s="619">
        <f t="shared" si="13"/>
        <v>170</v>
      </c>
      <c r="B210" s="539">
        <f>'Wrksht. H, CWIP Desc. EKS'!B180</f>
        <v>1070004</v>
      </c>
      <c r="C210" s="540" t="str">
        <f>'Wrksht. H, CWIP Desc. EKS'!C180</f>
        <v>012444</v>
      </c>
      <c r="D210" s="546">
        <f>'Wrksht. I, CWIP AFUDC Cre. EKS'!I181</f>
        <v>0</v>
      </c>
      <c r="E210" s="542" t="str">
        <f>'Wrksht. H, CWIP Desc. EKS'!E180</f>
        <v>O</v>
      </c>
      <c r="F210" s="546"/>
      <c r="G210" s="546">
        <f t="shared" si="15"/>
        <v>0</v>
      </c>
      <c r="H210" s="546">
        <f t="shared" si="12"/>
        <v>0</v>
      </c>
      <c r="I210" s="544"/>
      <c r="J210" s="545" t="str">
        <f>'Wrksht. H, CWIP Desc. EKS'!F180</f>
        <v>EAD05C HP CONDENSER TUBE REPLACEMENT</v>
      </c>
    </row>
    <row r="211" spans="1:10">
      <c r="A211" s="619">
        <f t="shared" si="13"/>
        <v>171</v>
      </c>
      <c r="B211" s="539">
        <f>'Wrksht. H, CWIP Desc. EKS'!B181</f>
        <v>1070004</v>
      </c>
      <c r="C211" s="540" t="str">
        <f>'Wrksht. H, CWIP Desc. EKS'!C181</f>
        <v>012485</v>
      </c>
      <c r="D211" s="546">
        <f>'Wrksht. I, CWIP AFUDC Cre. EKS'!I182</f>
        <v>0</v>
      </c>
      <c r="E211" s="542" t="str">
        <f>'Wrksht. H, CWIP Desc. EKS'!E181</f>
        <v>O</v>
      </c>
      <c r="F211" s="546"/>
      <c r="G211" s="546">
        <f t="shared" si="15"/>
        <v>0</v>
      </c>
      <c r="H211" s="546">
        <f t="shared" si="12"/>
        <v>0</v>
      </c>
      <c r="I211" s="544"/>
      <c r="J211" s="545" t="str">
        <f>'Wrksht. H, CWIP Desc. EKS'!F181</f>
        <v>OBSOLETE PART - REPLACE EXISTING VALVES</v>
      </c>
    </row>
    <row r="212" spans="1:10">
      <c r="A212" s="618">
        <f t="shared" si="13"/>
        <v>172</v>
      </c>
      <c r="B212" s="539">
        <f>'Wrksht. H, CWIP Desc. EKS'!B182</f>
        <v>1070004</v>
      </c>
      <c r="C212" s="540" t="str">
        <f>'Wrksht. H, CWIP Desc. EKS'!C182</f>
        <v>012503</v>
      </c>
      <c r="D212" s="546">
        <f>'Wrksht. I, CWIP AFUDC Cre. EKS'!I183</f>
        <v>0</v>
      </c>
      <c r="E212" s="542" t="str">
        <f>'Wrksht. H, CWIP Desc. EKS'!E182</f>
        <v>O</v>
      </c>
      <c r="F212" s="546"/>
      <c r="G212" s="546">
        <f t="shared" si="15"/>
        <v>0</v>
      </c>
      <c r="H212" s="546">
        <f t="shared" si="12"/>
        <v>0</v>
      </c>
      <c r="I212" s="544"/>
      <c r="J212" s="545" t="str">
        <f>'Wrksht. H, CWIP Desc. EKS'!F182</f>
        <v>REPLACE VALVES GNV0039, 40, 41, 42</v>
      </c>
    </row>
    <row r="213" spans="1:10">
      <c r="A213" s="619">
        <f t="shared" si="13"/>
        <v>173</v>
      </c>
      <c r="B213" s="539">
        <f>'Wrksht. H, CWIP Desc. EKS'!B183</f>
        <v>1070004</v>
      </c>
      <c r="C213" s="540" t="str">
        <f>'Wrksht. H, CWIP Desc. EKS'!C183</f>
        <v>012504</v>
      </c>
      <c r="D213" s="546">
        <f>'Wrksht. I, CWIP AFUDC Cre. EKS'!I184</f>
        <v>0</v>
      </c>
      <c r="E213" s="542" t="str">
        <f>'Wrksht. H, CWIP Desc. EKS'!E183</f>
        <v>O</v>
      </c>
      <c r="F213" s="546"/>
      <c r="G213" s="546">
        <f t="shared" si="15"/>
        <v>0</v>
      </c>
      <c r="H213" s="546">
        <f t="shared" si="12"/>
        <v>0</v>
      </c>
      <c r="I213" s="544"/>
      <c r="J213" s="545" t="str">
        <f>'Wrksht. H, CWIP Desc. EKS'!F183</f>
        <v>EVALUATION OF NEW SEAL TABLE MAINTENANCE</v>
      </c>
    </row>
    <row r="214" spans="1:10">
      <c r="A214" s="619">
        <f t="shared" si="13"/>
        <v>174</v>
      </c>
      <c r="B214" s="539">
        <f>'Wrksht. H, CWIP Desc. EKS'!B184</f>
        <v>1070004</v>
      </c>
      <c r="C214" s="540" t="str">
        <f>'Wrksht. H, CWIP Desc. EKS'!C184</f>
        <v>012513</v>
      </c>
      <c r="D214" s="546">
        <f>'Wrksht. I, CWIP AFUDC Cre. EKS'!I185</f>
        <v>0</v>
      </c>
      <c r="E214" s="542" t="str">
        <f>'Wrksht. H, CWIP Desc. EKS'!E184</f>
        <v>O</v>
      </c>
      <c r="F214" s="546"/>
      <c r="G214" s="546">
        <f t="shared" si="15"/>
        <v>0</v>
      </c>
      <c r="H214" s="546">
        <f t="shared" si="12"/>
        <v>0</v>
      </c>
      <c r="I214" s="544"/>
      <c r="J214" s="545" t="str">
        <f>'Wrksht. H, CWIP Desc. EKS'!F184</f>
        <v>XNB01/XNB02 REPLACEMENT</v>
      </c>
    </row>
    <row r="215" spans="1:10">
      <c r="A215" s="619">
        <f t="shared" si="13"/>
        <v>175</v>
      </c>
      <c r="B215" s="539">
        <f>'Wrksht. H, CWIP Desc. EKS'!B185</f>
        <v>1070004</v>
      </c>
      <c r="C215" s="540" t="str">
        <f>'Wrksht. H, CWIP Desc. EKS'!C185</f>
        <v>012520</v>
      </c>
      <c r="D215" s="546">
        <f>'Wrksht. I, CWIP AFUDC Cre. EKS'!I186</f>
        <v>0</v>
      </c>
      <c r="E215" s="542" t="str">
        <f>'Wrksht. H, CWIP Desc. EKS'!E185</f>
        <v>O</v>
      </c>
      <c r="F215" s="546"/>
      <c r="G215" s="546">
        <f t="shared" si="15"/>
        <v>0</v>
      </c>
      <c r="H215" s="546">
        <f t="shared" si="12"/>
        <v>0</v>
      </c>
      <c r="I215" s="544"/>
      <c r="J215" s="545" t="str">
        <f>'Wrksht. H, CWIP Desc. EKS'!F185</f>
        <v>VELAN 3 INCH GATE VALVE CHANGES</v>
      </c>
    </row>
    <row r="216" spans="1:10">
      <c r="A216" s="619">
        <f t="shared" si="13"/>
        <v>176</v>
      </c>
      <c r="B216" s="539">
        <f>'Wrksht. H, CWIP Desc. EKS'!B186</f>
        <v>1070004</v>
      </c>
      <c r="C216" s="540" t="str">
        <f>'Wrksht. H, CWIP Desc. EKS'!C186</f>
        <v>012548</v>
      </c>
      <c r="D216" s="546">
        <f>'Wrksht. I, CWIP AFUDC Cre. EKS'!I187</f>
        <v>0</v>
      </c>
      <c r="E216" s="542" t="str">
        <f>'Wrksht. H, CWIP Desc. EKS'!E186</f>
        <v>O</v>
      </c>
      <c r="F216" s="546"/>
      <c r="G216" s="546">
        <f t="shared" si="15"/>
        <v>0</v>
      </c>
      <c r="H216" s="546">
        <f t="shared" si="12"/>
        <v>0</v>
      </c>
      <c r="I216" s="544"/>
      <c r="J216" s="545" t="str">
        <f>'Wrksht. H, CWIP Desc. EKS'!F186</f>
        <v>HIGH PRESSURE NITROGEN PRESSURE CONTROL</v>
      </c>
    </row>
    <row r="217" spans="1:10">
      <c r="A217" s="619">
        <f t="shared" si="13"/>
        <v>177</v>
      </c>
      <c r="B217" s="539">
        <f>'Wrksht. H, CWIP Desc. EKS'!B187</f>
        <v>1070004</v>
      </c>
      <c r="C217" s="540" t="str">
        <f>'Wrksht. H, CWIP Desc. EKS'!C187</f>
        <v>012648</v>
      </c>
      <c r="D217" s="546">
        <f>'Wrksht. I, CWIP AFUDC Cre. EKS'!I188</f>
        <v>0</v>
      </c>
      <c r="E217" s="542" t="str">
        <f>'Wrksht. H, CWIP Desc. EKS'!E187</f>
        <v>O</v>
      </c>
      <c r="F217" s="546"/>
      <c r="G217" s="546">
        <f t="shared" si="15"/>
        <v>0</v>
      </c>
      <c r="H217" s="546">
        <f t="shared" si="12"/>
        <v>0</v>
      </c>
      <c r="I217" s="544"/>
      <c r="J217" s="545" t="str">
        <f>'Wrksht. H, CWIP Desc. EKS'!F187</f>
        <v>SECURITY X-RAY REPLACEMENT</v>
      </c>
    </row>
    <row r="218" spans="1:10">
      <c r="A218" s="619">
        <f t="shared" si="13"/>
        <v>178</v>
      </c>
      <c r="B218" s="539">
        <f>'Wrksht. H, CWIP Desc. EKS'!B188</f>
        <v>1070004</v>
      </c>
      <c r="C218" s="540" t="str">
        <f>'Wrksht. H, CWIP Desc. EKS'!C188</f>
        <v>012649</v>
      </c>
      <c r="D218" s="546">
        <f>'Wrksht. I, CWIP AFUDC Cre. EKS'!I189</f>
        <v>0</v>
      </c>
      <c r="E218" s="542" t="str">
        <f>'Wrksht. H, CWIP Desc. EKS'!E188</f>
        <v>O</v>
      </c>
      <c r="F218" s="546"/>
      <c r="G218" s="546">
        <f t="shared" si="15"/>
        <v>0</v>
      </c>
      <c r="H218" s="546">
        <f t="shared" si="12"/>
        <v>0</v>
      </c>
      <c r="I218" s="544"/>
      <c r="J218" s="545" t="str">
        <f>'Wrksht. H, CWIP Desc. EKS'!F188</f>
        <v>VIDEO RECORDING SYSTEM UPGRADE</v>
      </c>
    </row>
    <row r="219" spans="1:10">
      <c r="A219" s="619">
        <f t="shared" si="13"/>
        <v>179</v>
      </c>
      <c r="B219" s="539">
        <f>'Wrksht. H, CWIP Desc. EKS'!B189</f>
        <v>1070004</v>
      </c>
      <c r="C219" s="540" t="str">
        <f>'Wrksht. H, CWIP Desc. EKS'!C189</f>
        <v>012760</v>
      </c>
      <c r="D219" s="546">
        <f>'Wrksht. I, CWIP AFUDC Cre. EKS'!I190</f>
        <v>0</v>
      </c>
      <c r="E219" s="542" t="str">
        <f>'Wrksht. H, CWIP Desc. EKS'!E189</f>
        <v>O</v>
      </c>
      <c r="F219" s="546"/>
      <c r="G219" s="546">
        <f t="shared" si="15"/>
        <v>0</v>
      </c>
      <c r="H219" s="546">
        <f t="shared" si="12"/>
        <v>0</v>
      </c>
      <c r="I219" s="544"/>
      <c r="J219" s="545" t="str">
        <f>'Wrksht. H, CWIP Desc. EKS'!F189</f>
        <v>REPLACE AE CHECK VALVES IN CONTAINMENT</v>
      </c>
    </row>
    <row r="220" spans="1:10">
      <c r="A220" s="619">
        <f t="shared" si="13"/>
        <v>180</v>
      </c>
      <c r="B220" s="539">
        <f>'Wrksht. H, CWIP Desc. EKS'!B190</f>
        <v>1070004</v>
      </c>
      <c r="C220" s="540" t="str">
        <f>'Wrksht. H, CWIP Desc. EKS'!C190</f>
        <v>012774</v>
      </c>
      <c r="D220" s="546">
        <f>'Wrksht. I, CWIP AFUDC Cre. EKS'!I191</f>
        <v>0</v>
      </c>
      <c r="E220" s="542" t="str">
        <f>'Wrksht. H, CWIP Desc. EKS'!E190</f>
        <v>O</v>
      </c>
      <c r="F220" s="546"/>
      <c r="G220" s="546">
        <f t="shared" si="15"/>
        <v>0</v>
      </c>
      <c r="H220" s="546">
        <f t="shared" si="12"/>
        <v>0</v>
      </c>
      <c r="I220" s="544"/>
      <c r="J220" s="545" t="str">
        <f>'Wrksht. H, CWIP Desc. EKS'!F190</f>
        <v>EKJ06A/B REPLACEMENT HEAT EXCHANGER</v>
      </c>
    </row>
    <row r="221" spans="1:10">
      <c r="A221" s="619">
        <f t="shared" si="13"/>
        <v>181</v>
      </c>
      <c r="B221" s="539">
        <f>'Wrksht. H, CWIP Desc. EKS'!B191</f>
        <v>1070004</v>
      </c>
      <c r="C221" s="540" t="str">
        <f>'Wrksht. H, CWIP Desc. EKS'!C191</f>
        <v>012792</v>
      </c>
      <c r="D221" s="546">
        <f>'Wrksht. I, CWIP AFUDC Cre. EKS'!I192</f>
        <v>0</v>
      </c>
      <c r="E221" s="542" t="str">
        <f>'Wrksht. H, CWIP Desc. EKS'!E191</f>
        <v>O</v>
      </c>
      <c r="F221" s="546"/>
      <c r="G221" s="546">
        <f t="shared" si="15"/>
        <v>0</v>
      </c>
      <c r="H221" s="546">
        <f t="shared" si="12"/>
        <v>0</v>
      </c>
      <c r="I221" s="544"/>
      <c r="J221" s="545" t="str">
        <f>'Wrksht. H, CWIP Desc. EKS'!F191</f>
        <v>REPLACEMENT OF DEGRADED FEEDWATER</v>
      </c>
    </row>
    <row r="222" spans="1:10">
      <c r="A222" s="619">
        <f t="shared" si="13"/>
        <v>182</v>
      </c>
      <c r="B222" s="539">
        <f>'Wrksht. H, CWIP Desc. EKS'!B192</f>
        <v>1070004</v>
      </c>
      <c r="C222" s="540" t="str">
        <f>'Wrksht. H, CWIP Desc. EKS'!C192</f>
        <v>012812</v>
      </c>
      <c r="D222" s="546">
        <f>'Wrksht. I, CWIP AFUDC Cre. EKS'!I193</f>
        <v>0</v>
      </c>
      <c r="E222" s="542" t="str">
        <f>'Wrksht. H, CWIP Desc. EKS'!E192</f>
        <v>O</v>
      </c>
      <c r="F222" s="546"/>
      <c r="G222" s="546">
        <f t="shared" si="15"/>
        <v>0</v>
      </c>
      <c r="H222" s="546">
        <f t="shared" si="12"/>
        <v>0</v>
      </c>
      <c r="I222" s="544"/>
      <c r="J222" s="545" t="str">
        <f>'Wrksht. H, CWIP Desc. EKS'!F192</f>
        <v>XPB03 SECONDARY POWER CABLE REPLACEMENT</v>
      </c>
    </row>
    <row r="223" spans="1:10">
      <c r="A223" s="618">
        <f t="shared" si="13"/>
        <v>183</v>
      </c>
      <c r="B223" s="539">
        <f>'Wrksht. H, CWIP Desc. EKS'!B193</f>
        <v>1070004</v>
      </c>
      <c r="C223" s="540" t="str">
        <f>'Wrksht. H, CWIP Desc. EKS'!C193</f>
        <v>012814</v>
      </c>
      <c r="D223" s="546">
        <f>'Wrksht. I, CWIP AFUDC Cre. EKS'!I194</f>
        <v>0</v>
      </c>
      <c r="E223" s="542" t="str">
        <f>'Wrksht. H, CWIP Desc. EKS'!E193</f>
        <v>O</v>
      </c>
      <c r="F223" s="546"/>
      <c r="G223" s="546">
        <f t="shared" si="15"/>
        <v>0</v>
      </c>
      <c r="H223" s="546">
        <f t="shared" si="12"/>
        <v>0</v>
      </c>
      <c r="I223" s="544"/>
      <c r="J223" s="545" t="str">
        <f>'Wrksht. H, CWIP Desc. EKS'!F193</f>
        <v>S/G BLOWDOWN DISCHARGE PUMPS BYPASS</v>
      </c>
    </row>
    <row r="224" spans="1:10">
      <c r="A224" s="619">
        <f t="shared" si="13"/>
        <v>184</v>
      </c>
      <c r="B224" s="539">
        <f>'Wrksht. H, CWIP Desc. EKS'!B194</f>
        <v>1070004</v>
      </c>
      <c r="C224" s="540" t="str">
        <f>'Wrksht. H, CWIP Desc. EKS'!C194</f>
        <v>012819</v>
      </c>
      <c r="D224" s="546">
        <f>'Wrksht. I, CWIP AFUDC Cre. EKS'!I195</f>
        <v>0</v>
      </c>
      <c r="E224" s="542" t="str">
        <f>'Wrksht. H, CWIP Desc. EKS'!E194</f>
        <v>O</v>
      </c>
      <c r="F224" s="546"/>
      <c r="G224" s="546">
        <f t="shared" si="15"/>
        <v>0</v>
      </c>
      <c r="H224" s="546">
        <f t="shared" si="12"/>
        <v>0</v>
      </c>
      <c r="I224" s="544"/>
      <c r="J224" s="545" t="str">
        <f>'Wrksht. H, CWIP Desc. EKS'!F194</f>
        <v>PERMANENT PLATFORMS FOR POST FIRE</v>
      </c>
    </row>
    <row r="225" spans="1:10">
      <c r="A225" s="619">
        <f t="shared" si="13"/>
        <v>185</v>
      </c>
      <c r="B225" s="539">
        <f>'Wrksht. H, CWIP Desc. EKS'!B195</f>
        <v>1070004</v>
      </c>
      <c r="C225" s="540" t="str">
        <f>'Wrksht. H, CWIP Desc. EKS'!C195</f>
        <v>012833</v>
      </c>
      <c r="D225" s="546">
        <f>'Wrksht. I, CWIP AFUDC Cre. EKS'!I196</f>
        <v>0</v>
      </c>
      <c r="E225" s="542" t="str">
        <f>'Wrksht. H, CWIP Desc. EKS'!E195</f>
        <v>O</v>
      </c>
      <c r="F225" s="546"/>
      <c r="G225" s="546">
        <f t="shared" si="15"/>
        <v>0</v>
      </c>
      <c r="H225" s="546">
        <f t="shared" si="12"/>
        <v>0</v>
      </c>
      <c r="I225" s="544"/>
      <c r="J225" s="545" t="str">
        <f>'Wrksht. H, CWIP Desc. EKS'!F195</f>
        <v>UNIT 2 TEE ELIMINATION OF ESW BURIED</v>
      </c>
    </row>
    <row r="226" spans="1:10">
      <c r="A226" s="619">
        <f t="shared" si="13"/>
        <v>186</v>
      </c>
      <c r="B226" s="539">
        <f>'Wrksht. H, CWIP Desc. EKS'!B196</f>
        <v>1070004</v>
      </c>
      <c r="C226" s="540" t="str">
        <f>'Wrksht. H, CWIP Desc. EKS'!C196</f>
        <v>012874</v>
      </c>
      <c r="D226" s="546">
        <f>'Wrksht. I, CWIP AFUDC Cre. EKS'!I197</f>
        <v>0</v>
      </c>
      <c r="E226" s="542" t="str">
        <f>'Wrksht. H, CWIP Desc. EKS'!E196</f>
        <v>O</v>
      </c>
      <c r="F226" s="546"/>
      <c r="G226" s="546">
        <f t="shared" si="15"/>
        <v>0</v>
      </c>
      <c r="H226" s="546">
        <f t="shared" si="12"/>
        <v>0</v>
      </c>
      <c r="I226" s="544"/>
      <c r="J226" s="545" t="str">
        <f>'Wrksht. H, CWIP Desc. EKS'!F196</f>
        <v>REPLACE AIR CONDITIONING (A/C) UNITS</v>
      </c>
    </row>
    <row r="227" spans="1:10">
      <c r="A227" s="619">
        <f t="shared" si="13"/>
        <v>187</v>
      </c>
      <c r="B227" s="539">
        <f>'Wrksht. H, CWIP Desc. EKS'!B197</f>
        <v>1070004</v>
      </c>
      <c r="C227" s="540" t="str">
        <f>'Wrksht. H, CWIP Desc. EKS'!C197</f>
        <v>500836</v>
      </c>
      <c r="D227" s="546">
        <f>'Wrksht. I, CWIP AFUDC Cre. EKS'!I198</f>
        <v>0</v>
      </c>
      <c r="E227" s="542" t="str">
        <f>'Wrksht. H, CWIP Desc. EKS'!E197</f>
        <v>O</v>
      </c>
      <c r="F227" s="546"/>
      <c r="G227" s="546">
        <f t="shared" si="15"/>
        <v>0</v>
      </c>
      <c r="H227" s="546">
        <f t="shared" si="12"/>
        <v>0</v>
      </c>
      <c r="I227" s="544"/>
      <c r="J227" s="545" t="str">
        <f>'Wrksht. H, CWIP Desc. EKS'!F197</f>
        <v>SECURITY BUILDING MATTING</v>
      </c>
    </row>
    <row r="228" spans="1:10">
      <c r="A228" s="618">
        <f t="shared" si="13"/>
        <v>188</v>
      </c>
      <c r="B228" s="539">
        <f>'Wrksht. H, CWIP Desc. EKS'!B198</f>
        <v>1070004</v>
      </c>
      <c r="C228" s="540" t="str">
        <f>'Wrksht. H, CWIP Desc. EKS'!C198</f>
        <v>500897</v>
      </c>
      <c r="D228" s="546">
        <f>'Wrksht. I, CWIP AFUDC Cre. EKS'!I199</f>
        <v>0</v>
      </c>
      <c r="E228" s="542" t="str">
        <f>'Wrksht. H, CWIP Desc. EKS'!E198</f>
        <v>O</v>
      </c>
      <c r="F228" s="546"/>
      <c r="G228" s="546">
        <f t="shared" si="15"/>
        <v>0</v>
      </c>
      <c r="H228" s="546">
        <f t="shared" si="12"/>
        <v>0</v>
      </c>
      <c r="I228" s="544"/>
      <c r="J228" s="545" t="str">
        <f>'Wrksht. H, CWIP Desc. EKS'!F198</f>
        <v>REPLACE PUMP SHAFT ON #1WM003PA</v>
      </c>
    </row>
    <row r="229" spans="1:10">
      <c r="A229" s="619">
        <f t="shared" si="13"/>
        <v>189</v>
      </c>
      <c r="B229" s="539">
        <f>'Wrksht. H, CWIP Desc. EKS'!B199</f>
        <v>1070004</v>
      </c>
      <c r="C229" s="540" t="str">
        <f>'Wrksht. H, CWIP Desc. EKS'!C199</f>
        <v>500917</v>
      </c>
      <c r="D229" s="546">
        <f>'Wrksht. I, CWIP AFUDC Cre. EKS'!I200</f>
        <v>0</v>
      </c>
      <c r="E229" s="542" t="str">
        <f>'Wrksht. H, CWIP Desc. EKS'!E199</f>
        <v>O</v>
      </c>
      <c r="F229" s="546"/>
      <c r="G229" s="546">
        <f t="shared" si="15"/>
        <v>0</v>
      </c>
      <c r="H229" s="546">
        <f t="shared" si="12"/>
        <v>0</v>
      </c>
      <c r="I229" s="544"/>
      <c r="J229" s="545" t="str">
        <f>'Wrksht. H, CWIP Desc. EKS'!F199</f>
        <v>REPLACE 4" CHECK VALVE, #KCV-478</v>
      </c>
    </row>
    <row r="230" spans="1:10">
      <c r="A230" s="619">
        <f t="shared" si="13"/>
        <v>190</v>
      </c>
      <c r="B230" s="539">
        <f>'Wrksht. H, CWIP Desc. EKS'!B200</f>
        <v>1070004</v>
      </c>
      <c r="C230" s="540" t="str">
        <f>'Wrksht. H, CWIP Desc. EKS'!C200</f>
        <v>500931</v>
      </c>
      <c r="D230" s="546">
        <f>'Wrksht. I, CWIP AFUDC Cre. EKS'!I201</f>
        <v>0</v>
      </c>
      <c r="E230" s="542" t="str">
        <f>'Wrksht. H, CWIP Desc. EKS'!E200</f>
        <v>O</v>
      </c>
      <c r="F230" s="546"/>
      <c r="G230" s="546">
        <f t="shared" si="15"/>
        <v>0</v>
      </c>
      <c r="H230" s="546">
        <f t="shared" si="12"/>
        <v>0</v>
      </c>
      <c r="I230" s="544"/>
      <c r="J230" s="545" t="str">
        <f>'Wrksht. H, CWIP Desc. EKS'!F200</f>
        <v>REACTOR HEAD VESSEL FORGING</v>
      </c>
    </row>
    <row r="231" spans="1:10">
      <c r="A231" s="618">
        <f t="shared" si="13"/>
        <v>191</v>
      </c>
      <c r="B231" s="539">
        <f>'Wrksht. H, CWIP Desc. EKS'!B201</f>
        <v>1070004</v>
      </c>
      <c r="C231" s="540" t="str">
        <f>'Wrksht. H, CWIP Desc. EKS'!C201</f>
        <v>500933</v>
      </c>
      <c r="D231" s="546">
        <f>'Wrksht. I, CWIP AFUDC Cre. EKS'!I202</f>
        <v>0</v>
      </c>
      <c r="E231" s="542" t="str">
        <f>'Wrksht. H, CWIP Desc. EKS'!E201</f>
        <v>O</v>
      </c>
      <c r="F231" s="546"/>
      <c r="G231" s="546">
        <f t="shared" si="15"/>
        <v>0</v>
      </c>
      <c r="H231" s="546">
        <f t="shared" si="12"/>
        <v>0</v>
      </c>
      <c r="I231" s="544"/>
      <c r="J231" s="545" t="str">
        <f>'Wrksht. H, CWIP Desc. EKS'!F201</f>
        <v>HOMELAND SECURITY MODIFICATION 2007</v>
      </c>
    </row>
    <row r="232" spans="1:10">
      <c r="A232" s="618">
        <f t="shared" si="13"/>
        <v>192</v>
      </c>
      <c r="B232" s="539">
        <f>'Wrksht. H, CWIP Desc. EKS'!B202</f>
        <v>1070004</v>
      </c>
      <c r="C232" s="540" t="str">
        <f>'Wrksht. H, CWIP Desc. EKS'!C202</f>
        <v>500944</v>
      </c>
      <c r="D232" s="546">
        <f>'Wrksht. I, CWIP AFUDC Cre. EKS'!I203</f>
        <v>0</v>
      </c>
      <c r="E232" s="542" t="str">
        <f>'Wrksht. H, CWIP Desc. EKS'!E202</f>
        <v>O</v>
      </c>
      <c r="F232" s="546"/>
      <c r="G232" s="546">
        <f t="shared" si="15"/>
        <v>0</v>
      </c>
      <c r="H232" s="546">
        <f t="shared" si="12"/>
        <v>0</v>
      </c>
      <c r="I232" s="544"/>
      <c r="J232" s="545" t="str">
        <f>'Wrksht. H, CWIP Desc. EKS'!F202</f>
        <v>SAFETY RELATED ROOM COOLER CHANGEOUT</v>
      </c>
    </row>
    <row r="233" spans="1:10">
      <c r="A233" s="619">
        <f t="shared" si="13"/>
        <v>193</v>
      </c>
      <c r="B233" s="539">
        <f>'Wrksht. H, CWIP Desc. EKS'!B203</f>
        <v>1070004</v>
      </c>
      <c r="C233" s="540" t="str">
        <f>'Wrksht. H, CWIP Desc. EKS'!C203</f>
        <v>500967</v>
      </c>
      <c r="D233" s="546">
        <f>'Wrksht. I, CWIP AFUDC Cre. EKS'!I204</f>
        <v>0</v>
      </c>
      <c r="E233" s="542" t="str">
        <f>'Wrksht. H, CWIP Desc. EKS'!E203</f>
        <v>O</v>
      </c>
      <c r="F233" s="546"/>
      <c r="G233" s="546">
        <f t="shared" si="15"/>
        <v>0</v>
      </c>
      <c r="H233" s="546">
        <f t="shared" si="12"/>
        <v>0</v>
      </c>
      <c r="I233" s="544"/>
      <c r="J233" s="545" t="str">
        <f>'Wrksht. H, CWIP Desc. EKS'!F203</f>
        <v>REPLACE VALVE KH7926</v>
      </c>
    </row>
    <row r="234" spans="1:10">
      <c r="A234" s="618">
        <f t="shared" si="13"/>
        <v>194</v>
      </c>
      <c r="B234" s="539">
        <f>'Wrksht. H, CWIP Desc. EKS'!B204</f>
        <v>1070004</v>
      </c>
      <c r="C234" s="540" t="str">
        <f>'Wrksht. H, CWIP Desc. EKS'!C204</f>
        <v>500969</v>
      </c>
      <c r="D234" s="546">
        <f>'Wrksht. I, CWIP AFUDC Cre. EKS'!I205</f>
        <v>0</v>
      </c>
      <c r="E234" s="542" t="str">
        <f>'Wrksht. H, CWIP Desc. EKS'!E204</f>
        <v>O</v>
      </c>
      <c r="F234" s="546"/>
      <c r="G234" s="546">
        <f t="shared" si="15"/>
        <v>0</v>
      </c>
      <c r="H234" s="546">
        <f t="shared" si="12"/>
        <v>0</v>
      </c>
      <c r="I234" s="544"/>
      <c r="J234" s="545" t="str">
        <f>'Wrksht. H, CWIP Desc. EKS'!F204</f>
        <v>REPLACE VALVE #BLV0021</v>
      </c>
    </row>
    <row r="235" spans="1:10">
      <c r="A235" s="619">
        <f t="shared" si="13"/>
        <v>195</v>
      </c>
      <c r="B235" s="539">
        <f>'Wrksht. H, CWIP Desc. EKS'!B205</f>
        <v>1070004</v>
      </c>
      <c r="C235" s="540" t="str">
        <f>'Wrksht. H, CWIP Desc. EKS'!C205</f>
        <v>500975</v>
      </c>
      <c r="D235" s="546">
        <f>'Wrksht. I, CWIP AFUDC Cre. EKS'!I206</f>
        <v>0</v>
      </c>
      <c r="E235" s="542" t="str">
        <f>'Wrksht. H, CWIP Desc. EKS'!E205</f>
        <v>O</v>
      </c>
      <c r="F235" s="546"/>
      <c r="G235" s="546">
        <f t="shared" si="15"/>
        <v>0</v>
      </c>
      <c r="H235" s="546">
        <f t="shared" si="12"/>
        <v>0</v>
      </c>
      <c r="I235" s="544"/>
      <c r="J235" s="545" t="str">
        <f>'Wrksht. H, CWIP Desc. EKS'!F205</f>
        <v>SIMULATOR COMPUTER UPGRADE</v>
      </c>
    </row>
    <row r="236" spans="1:10">
      <c r="A236" s="618">
        <f t="shared" si="13"/>
        <v>196</v>
      </c>
      <c r="B236" s="539">
        <f>'Wrksht. H, CWIP Desc. EKS'!B206</f>
        <v>1070004</v>
      </c>
      <c r="C236" s="540" t="str">
        <f>'Wrksht. H, CWIP Desc. EKS'!C206</f>
        <v>500984</v>
      </c>
      <c r="D236" s="546">
        <f>'Wrksht. I, CWIP AFUDC Cre. EKS'!I207</f>
        <v>0</v>
      </c>
      <c r="E236" s="542" t="str">
        <f>'Wrksht. H, CWIP Desc. EKS'!E206</f>
        <v>O</v>
      </c>
      <c r="F236" s="546"/>
      <c r="G236" s="546">
        <f t="shared" si="15"/>
        <v>0</v>
      </c>
      <c r="H236" s="546">
        <f t="shared" si="12"/>
        <v>0</v>
      </c>
      <c r="I236" s="544"/>
      <c r="J236" s="545" t="str">
        <f>'Wrksht. H, CWIP Desc. EKS'!F206</f>
        <v>ATOMS WELD SHOP VENTILATORS AND CONFINED</v>
      </c>
    </row>
    <row r="237" spans="1:10">
      <c r="A237" s="618">
        <f t="shared" si="13"/>
        <v>197</v>
      </c>
      <c r="B237" s="539">
        <f>'Wrksht. H, CWIP Desc. EKS'!B207</f>
        <v>1070004</v>
      </c>
      <c r="C237" s="540" t="str">
        <f>'Wrksht. H, CWIP Desc. EKS'!C207</f>
        <v>500999</v>
      </c>
      <c r="D237" s="546">
        <f>'Wrksht. I, CWIP AFUDC Cre. EKS'!I208</f>
        <v>0</v>
      </c>
      <c r="E237" s="542" t="str">
        <f>'Wrksht. H, CWIP Desc. EKS'!E207</f>
        <v>O</v>
      </c>
      <c r="F237" s="546"/>
      <c r="G237" s="546">
        <f t="shared" si="15"/>
        <v>0</v>
      </c>
      <c r="H237" s="546">
        <f t="shared" si="12"/>
        <v>0</v>
      </c>
      <c r="I237" s="544"/>
      <c r="J237" s="545" t="str">
        <f>'Wrksht. H, CWIP Desc. EKS'!F207</f>
        <v>REPLACE 2 1/2" VALVE, #CEV0019</v>
      </c>
    </row>
    <row r="238" spans="1:10">
      <c r="A238" s="618">
        <f t="shared" si="13"/>
        <v>198</v>
      </c>
      <c r="B238" s="539">
        <f>'Wrksht. H, CWIP Desc. EKS'!B208</f>
        <v>1070004</v>
      </c>
      <c r="C238" s="540" t="str">
        <f>'Wrksht. H, CWIP Desc. EKS'!C208</f>
        <v>501000</v>
      </c>
      <c r="D238" s="546">
        <f>'Wrksht. I, CWIP AFUDC Cre. EKS'!I209</f>
        <v>0</v>
      </c>
      <c r="E238" s="542" t="str">
        <f>'Wrksht. H, CWIP Desc. EKS'!E208</f>
        <v>O</v>
      </c>
      <c r="F238" s="546"/>
      <c r="G238" s="546">
        <f t="shared" si="15"/>
        <v>0</v>
      </c>
      <c r="H238" s="546">
        <f t="shared" si="12"/>
        <v>0</v>
      </c>
      <c r="I238" s="544"/>
      <c r="J238" s="545" t="str">
        <f>'Wrksht. H, CWIP Desc. EKS'!F208</f>
        <v>REPLACE ACTUATOR ON VALVE #EPHV8879C</v>
      </c>
    </row>
    <row r="239" spans="1:10">
      <c r="A239" s="618">
        <f t="shared" si="13"/>
        <v>199</v>
      </c>
      <c r="B239" s="539">
        <f>'Wrksht. H, CWIP Desc. EKS'!B209</f>
        <v>1070004</v>
      </c>
      <c r="C239" s="540" t="str">
        <f>'Wrksht. H, CWIP Desc. EKS'!C209</f>
        <v>501001</v>
      </c>
      <c r="D239" s="546">
        <f>'Wrksht. I, CWIP AFUDC Cre. EKS'!I210</f>
        <v>0</v>
      </c>
      <c r="E239" s="542" t="str">
        <f>'Wrksht. H, CWIP Desc. EKS'!E209</f>
        <v>O</v>
      </c>
      <c r="F239" s="546"/>
      <c r="G239" s="546">
        <f t="shared" si="15"/>
        <v>0</v>
      </c>
      <c r="H239" s="546">
        <f t="shared" si="12"/>
        <v>0</v>
      </c>
      <c r="I239" s="544"/>
      <c r="J239" s="545" t="str">
        <f>'Wrksht. H, CWIP Desc. EKS'!F209</f>
        <v>REPLACE 3" GATE VALVE #EFPV0019</v>
      </c>
    </row>
    <row r="240" spans="1:10">
      <c r="A240" s="618">
        <f t="shared" si="13"/>
        <v>200</v>
      </c>
      <c r="B240" s="539">
        <f>'Wrksht. H, CWIP Desc. EKS'!B210</f>
        <v>1070004</v>
      </c>
      <c r="C240" s="540" t="str">
        <f>'Wrksht. H, CWIP Desc. EKS'!C210</f>
        <v>501004</v>
      </c>
      <c r="D240" s="546">
        <f>'Wrksht. I, CWIP AFUDC Cre. EKS'!I211</f>
        <v>0</v>
      </c>
      <c r="E240" s="542" t="str">
        <f>'Wrksht. H, CWIP Desc. EKS'!E210</f>
        <v>O</v>
      </c>
      <c r="F240" s="546"/>
      <c r="G240" s="546">
        <f t="shared" si="15"/>
        <v>0</v>
      </c>
      <c r="H240" s="546">
        <f t="shared" si="12"/>
        <v>0</v>
      </c>
      <c r="I240" s="544"/>
      <c r="J240" s="545" t="str">
        <f>'Wrksht. H, CWIP Desc. EKS'!F210</f>
        <v>REPLACE AIR CONDITIONER COMPRESSORS</v>
      </c>
    </row>
    <row r="241" spans="1:10" ht="20.399999999999999">
      <c r="A241" s="1740" t="s">
        <v>2998</v>
      </c>
      <c r="B241" s="1740"/>
      <c r="C241" s="1741"/>
      <c r="D241" s="1741"/>
      <c r="E241" s="1741"/>
      <c r="F241" s="1741"/>
      <c r="G241" s="1741"/>
      <c r="H241" s="1741"/>
      <c r="I241" s="1741"/>
      <c r="J241" s="1741"/>
    </row>
    <row r="242" spans="1:10" ht="19.2">
      <c r="A242" s="1742" t="str">
        <f>A2</f>
        <v>For Contract Year Beginning June 1, 2024, Based on 2023 Data</v>
      </c>
      <c r="B242" s="1742"/>
      <c r="C242" s="1743"/>
      <c r="D242" s="1743"/>
      <c r="E242" s="1743"/>
      <c r="F242" s="1743"/>
      <c r="G242" s="1743"/>
      <c r="H242" s="1743"/>
      <c r="I242" s="1743"/>
      <c r="J242" s="1743"/>
    </row>
    <row r="243" spans="1:10" ht="13.8">
      <c r="A243" s="506"/>
      <c r="B243" s="506" t="s">
        <v>476</v>
      </c>
      <c r="C243" s="484"/>
      <c r="D243" s="484"/>
      <c r="E243" s="484"/>
      <c r="F243" s="484"/>
      <c r="G243" s="484"/>
      <c r="H243" s="507"/>
      <c r="I243" s="484"/>
      <c r="J243" s="484"/>
    </row>
    <row r="244" spans="1:10">
      <c r="A244" s="485"/>
      <c r="B244" s="485"/>
      <c r="C244" s="487"/>
      <c r="D244" s="763" t="s">
        <v>480</v>
      </c>
      <c r="E244" s="763" t="s">
        <v>481</v>
      </c>
      <c r="F244" s="763" t="s">
        <v>482</v>
      </c>
      <c r="G244" s="763" t="s">
        <v>483</v>
      </c>
      <c r="H244" s="763" t="s">
        <v>484</v>
      </c>
      <c r="I244" s="763" t="s">
        <v>884</v>
      </c>
      <c r="J244" s="763" t="s">
        <v>485</v>
      </c>
    </row>
    <row r="245" spans="1:10">
      <c r="A245" s="506"/>
      <c r="B245" s="506"/>
      <c r="C245" s="484"/>
      <c r="D245" s="764" t="s">
        <v>1545</v>
      </c>
      <c r="E245" s="765" t="s">
        <v>1578</v>
      </c>
      <c r="F245" s="766"/>
      <c r="G245" s="765">
        <v>1</v>
      </c>
      <c r="H245" s="765">
        <v>0.5</v>
      </c>
      <c r="I245" s="763" t="s">
        <v>468</v>
      </c>
      <c r="J245" s="764" t="s">
        <v>476</v>
      </c>
    </row>
    <row r="246" spans="1:10">
      <c r="A246" s="506"/>
      <c r="B246" s="506"/>
      <c r="C246" s="484"/>
      <c r="D246" s="764" t="s">
        <v>1568</v>
      </c>
      <c r="E246" s="763" t="s">
        <v>1583</v>
      </c>
      <c r="F246" s="763"/>
      <c r="G246" s="763" t="s">
        <v>116</v>
      </c>
      <c r="H246" s="763" t="s">
        <v>116</v>
      </c>
      <c r="I246" s="763" t="s">
        <v>1079</v>
      </c>
      <c r="J246" s="764" t="s">
        <v>15</v>
      </c>
    </row>
    <row r="247" spans="1:10">
      <c r="A247" s="506"/>
      <c r="B247" s="506"/>
      <c r="C247" s="484"/>
      <c r="D247" s="764" t="s">
        <v>1569</v>
      </c>
      <c r="E247" s="764" t="s">
        <v>221</v>
      </c>
      <c r="F247" s="763"/>
      <c r="G247" s="763" t="s">
        <v>1584</v>
      </c>
      <c r="H247" s="763" t="s">
        <v>1585</v>
      </c>
      <c r="I247" s="763" t="s">
        <v>299</v>
      </c>
      <c r="J247" s="764"/>
    </row>
    <row r="248" spans="1:10">
      <c r="A248" s="506"/>
      <c r="B248" s="506"/>
      <c r="C248" s="484"/>
      <c r="D248" s="763" t="s">
        <v>1949</v>
      </c>
      <c r="E248" s="764"/>
      <c r="F248" s="769"/>
      <c r="G248" s="511"/>
      <c r="H248" s="511"/>
      <c r="I248" s="770"/>
      <c r="J248" s="770"/>
    </row>
    <row r="249" spans="1:10">
      <c r="A249" s="506"/>
      <c r="B249" s="506"/>
      <c r="C249" s="484"/>
      <c r="D249" s="496"/>
      <c r="E249" s="496"/>
      <c r="F249" s="498"/>
      <c r="G249" s="767"/>
      <c r="H249" s="767"/>
      <c r="I249" s="486"/>
      <c r="J249" s="486"/>
    </row>
    <row r="250" spans="1:10">
      <c r="A250" s="499" t="s">
        <v>531</v>
      </c>
      <c r="B250" s="500" t="s">
        <v>1078</v>
      </c>
      <c r="C250" s="501" t="s">
        <v>1077</v>
      </c>
      <c r="D250" s="750"/>
      <c r="E250" s="892"/>
      <c r="F250" s="750"/>
      <c r="G250" s="750"/>
      <c r="H250" s="750"/>
      <c r="I250" s="528"/>
      <c r="J250" s="752"/>
    </row>
    <row r="251" spans="1:10">
      <c r="A251" s="618">
        <f>A240+1</f>
        <v>201</v>
      </c>
      <c r="B251" s="539">
        <f>'Wrksht. H, CWIP Desc. EKS'!B211</f>
        <v>1070004</v>
      </c>
      <c r="C251" s="540" t="str">
        <f>'Wrksht. H, CWIP Desc. EKS'!C211</f>
        <v>501005</v>
      </c>
      <c r="D251" s="546">
        <f>'Wrksht. I, CWIP AFUDC Cre. EKS'!I212</f>
        <v>0</v>
      </c>
      <c r="E251" s="542" t="str">
        <f>'Wrksht. H, CWIP Desc. EKS'!E211</f>
        <v>O</v>
      </c>
      <c r="F251" s="546"/>
      <c r="G251" s="546">
        <f t="shared" si="15"/>
        <v>0</v>
      </c>
      <c r="H251" s="546">
        <f t="shared" ref="H251:H256" si="16">D251*0.5</f>
        <v>0</v>
      </c>
      <c r="I251" s="544"/>
      <c r="J251" s="545" t="str">
        <f>'Wrksht. H, CWIP Desc. EKS'!F211</f>
        <v>REPLACE CHECK VALVE #LBV0001</v>
      </c>
    </row>
    <row r="252" spans="1:10">
      <c r="A252" s="618">
        <f t="shared" ref="A252:A264" si="17">A251+1</f>
        <v>202</v>
      </c>
      <c r="B252" s="539">
        <f>'Wrksht. H, CWIP Desc. EKS'!B212</f>
        <v>1070004</v>
      </c>
      <c r="C252" s="540" t="str">
        <f>'Wrksht. H, CWIP Desc. EKS'!C212</f>
        <v>501007</v>
      </c>
      <c r="D252" s="546">
        <f>'Wrksht. I, CWIP AFUDC Cre. EKS'!I213</f>
        <v>0</v>
      </c>
      <c r="E252" s="542" t="str">
        <f>'Wrksht. H, CWIP Desc. EKS'!E212</f>
        <v>O</v>
      </c>
      <c r="F252" s="546"/>
      <c r="G252" s="546">
        <f t="shared" si="15"/>
        <v>0</v>
      </c>
      <c r="H252" s="546">
        <f t="shared" si="16"/>
        <v>0</v>
      </c>
      <c r="I252" s="544"/>
      <c r="J252" s="545" t="str">
        <f>'Wrksht. H, CWIP Desc. EKS'!F212</f>
        <v>WARNING BARRIERS AT MAIN GATE NORTH</v>
      </c>
    </row>
    <row r="253" spans="1:10">
      <c r="A253" s="618">
        <f t="shared" si="17"/>
        <v>203</v>
      </c>
      <c r="B253" s="539">
        <f>'Wrksht. H, CWIP Desc. EKS'!B213</f>
        <v>1070004</v>
      </c>
      <c r="C253" s="540" t="str">
        <f>'Wrksht. H, CWIP Desc. EKS'!C213</f>
        <v>501013</v>
      </c>
      <c r="D253" s="546">
        <f>'Wrksht. I, CWIP AFUDC Cre. EKS'!I214</f>
        <v>0</v>
      </c>
      <c r="E253" s="542" t="str">
        <f>'Wrksht. H, CWIP Desc. EKS'!E213</f>
        <v>O</v>
      </c>
      <c r="F253" s="546"/>
      <c r="G253" s="546">
        <f t="shared" si="15"/>
        <v>0</v>
      </c>
      <c r="H253" s="546">
        <f t="shared" si="16"/>
        <v>0</v>
      </c>
      <c r="I253" s="544"/>
      <c r="J253" s="545" t="str">
        <f>'Wrksht. H, CWIP Desc. EKS'!F213</f>
        <v>RIP RAP AT EISENHOWER LAGOON</v>
      </c>
    </row>
    <row r="254" spans="1:10">
      <c r="A254" s="618">
        <f t="shared" si="17"/>
        <v>204</v>
      </c>
      <c r="B254" s="539">
        <f>'Wrksht. H, CWIP Desc. EKS'!B214</f>
        <v>1070004</v>
      </c>
      <c r="C254" s="540" t="str">
        <f>'Wrksht. H, CWIP Desc. EKS'!C214</f>
        <v>501033</v>
      </c>
      <c r="D254" s="546">
        <f>'Wrksht. I, CWIP AFUDC Cre. EKS'!I215</f>
        <v>0</v>
      </c>
      <c r="E254" s="542" t="str">
        <f>'Wrksht. H, CWIP Desc. EKS'!E214</f>
        <v>O</v>
      </c>
      <c r="F254" s="546"/>
      <c r="G254" s="546">
        <f t="shared" si="15"/>
        <v>0</v>
      </c>
      <c r="H254" s="546">
        <f t="shared" si="16"/>
        <v>0</v>
      </c>
      <c r="I254" s="544"/>
      <c r="J254" s="545" t="str">
        <f>'Wrksht. H, CWIP Desc. EKS'!F214</f>
        <v>REPLACE VALVE #EP8818D</v>
      </c>
    </row>
    <row r="255" spans="1:10">
      <c r="A255" s="619">
        <f t="shared" si="17"/>
        <v>205</v>
      </c>
      <c r="B255" s="539">
        <f>'Wrksht. H, CWIP Desc. EKS'!B215</f>
        <v>1070004</v>
      </c>
      <c r="C255" s="540" t="str">
        <f>'Wrksht. H, CWIP Desc. EKS'!C215</f>
        <v>501034</v>
      </c>
      <c r="D255" s="546">
        <f>'Wrksht. I, CWIP AFUDC Cre. EKS'!I216</f>
        <v>0</v>
      </c>
      <c r="E255" s="542" t="str">
        <f>'Wrksht. H, CWIP Desc. EKS'!E215</f>
        <v>O</v>
      </c>
      <c r="F255" s="546"/>
      <c r="G255" s="546">
        <f>IF(H255=0,D255,0)</f>
        <v>0</v>
      </c>
      <c r="H255" s="546">
        <f t="shared" si="16"/>
        <v>0</v>
      </c>
      <c r="I255" s="544"/>
      <c r="J255" s="545" t="str">
        <f>'Wrksht. H, CWIP Desc. EKS'!F215</f>
        <v>REPLACE CIRC WATER AND MUSH TRAVELING</v>
      </c>
    </row>
    <row r="256" spans="1:10">
      <c r="A256" s="619">
        <f t="shared" si="17"/>
        <v>206</v>
      </c>
      <c r="B256" s="539">
        <f>'Wrksht. H, CWIP Desc. EKS'!B216</f>
        <v>1070004</v>
      </c>
      <c r="C256" s="540" t="str">
        <f>'Wrksht. H, CWIP Desc. EKS'!C216</f>
        <v>902001</v>
      </c>
      <c r="D256" s="546">
        <f>'Wrksht. I, CWIP AFUDC Cre. EKS'!I217</f>
        <v>0</v>
      </c>
      <c r="E256" s="542" t="str">
        <f>'Wrksht. H, CWIP Desc. EKS'!E216</f>
        <v>O</v>
      </c>
      <c r="F256" s="546"/>
      <c r="G256" s="546">
        <f>IF(H256=0,D256,0)</f>
        <v>0</v>
      </c>
      <c r="H256" s="546">
        <f t="shared" si="16"/>
        <v>0</v>
      </c>
      <c r="I256" s="544"/>
      <c r="J256" s="545" t="str">
        <f>'Wrksht. H, CWIP Desc. EKS'!F216</f>
        <v>CONSTRUCTION PRORATION BLANKET</v>
      </c>
    </row>
    <row r="257" spans="1:10">
      <c r="A257" s="619">
        <f t="shared" si="17"/>
        <v>207</v>
      </c>
      <c r="B257" s="539">
        <f>'Wrksht. H, CWIP Desc. EKS'!B217</f>
        <v>1070002</v>
      </c>
      <c r="C257" s="540" t="str">
        <f>'Wrksht. H, CWIP Desc. EKS'!C217</f>
        <v>JEC01802402</v>
      </c>
      <c r="D257" s="546">
        <f>'Wrksht. I, CWIP AFUDC Cre. EKS'!I218</f>
        <v>0</v>
      </c>
      <c r="E257" s="542" t="str">
        <f>'Wrksht. H, CWIP Desc. EKS'!E217</f>
        <v>O</v>
      </c>
      <c r="F257" s="546"/>
      <c r="G257" s="546">
        <f>IF(H257=0,D257,0)</f>
        <v>0</v>
      </c>
      <c r="H257" s="546">
        <f>D257*0.5</f>
        <v>0</v>
      </c>
      <c r="I257" s="544"/>
      <c r="J257" s="545" t="str">
        <f>'Wrksht. H, CWIP Desc. EKS'!F217</f>
        <v>JEC WATER SUPPLY UPGRADES</v>
      </c>
    </row>
    <row r="258" spans="1:10">
      <c r="A258" s="619">
        <f t="shared" si="17"/>
        <v>208</v>
      </c>
      <c r="B258" s="539" t="str">
        <f>'Wrksht. H, CWIP Desc. EKS'!B218</f>
        <v>1070002</v>
      </c>
      <c r="C258" s="540" t="str">
        <f>'Wrksht. H, CWIP Desc. EKS'!C218</f>
        <v>JEC01805401</v>
      </c>
      <c r="D258" s="546">
        <f>'Wrksht. I, CWIP AFUDC Cre. EKS'!I219</f>
        <v>0</v>
      </c>
      <c r="E258" s="542" t="str">
        <f>'Wrksht. H, CWIP Desc. EKS'!E218</f>
        <v>PC</v>
      </c>
      <c r="F258" s="546"/>
      <c r="G258" s="546">
        <f>IF(H258=0,D258,0)</f>
        <v>0</v>
      </c>
      <c r="H258" s="546">
        <v>0</v>
      </c>
      <c r="I258" s="544"/>
      <c r="J258" s="545" t="str">
        <f>'Wrksht. H, CWIP Desc. EKS'!F218</f>
        <v>WORK ORDER SHALL COVER THE PHASE 1</v>
      </c>
    </row>
    <row r="259" spans="1:10">
      <c r="A259" s="619">
        <f t="shared" si="17"/>
        <v>209</v>
      </c>
      <c r="B259" s="539" t="str">
        <f>'Wrksht. H, CWIP Desc. EKS'!B219</f>
        <v>1070002</v>
      </c>
      <c r="C259" s="540" t="str">
        <f>'Wrksht. H, CWIP Desc. EKS'!C219</f>
        <v>JEC01806001</v>
      </c>
      <c r="D259" s="546">
        <f>'Wrksht. I, CWIP AFUDC Cre. EKS'!I220</f>
        <v>0</v>
      </c>
      <c r="E259" s="542" t="str">
        <f>'Wrksht. H, CWIP Desc. EKS'!E219</f>
        <v>PC</v>
      </c>
      <c r="F259" s="546"/>
      <c r="G259" s="546">
        <f t="shared" ref="G259:G264" si="18">IF(H259=0,D259,0)</f>
        <v>0</v>
      </c>
      <c r="H259" s="546">
        <v>0</v>
      </c>
      <c r="I259" s="544"/>
      <c r="J259" s="545" t="str">
        <f>'Wrksht. H, CWIP Desc. EKS'!F219</f>
        <v>J2 LOW NOX CONVERSION FOR SPRING 2009</v>
      </c>
    </row>
    <row r="260" spans="1:10">
      <c r="A260" s="619">
        <f t="shared" si="17"/>
        <v>210</v>
      </c>
      <c r="B260" s="539" t="str">
        <f>'Wrksht. H, CWIP Desc. EKS'!B220</f>
        <v>1070002</v>
      </c>
      <c r="C260" s="540" t="str">
        <f>'Wrksht. H, CWIP Desc. EKS'!C220</f>
        <v>7003193</v>
      </c>
      <c r="D260" s="546">
        <f>'Wrksht. I, CWIP AFUDC Cre. EKS'!I221</f>
        <v>0</v>
      </c>
      <c r="E260" s="542" t="str">
        <f>'Wrksht. H, CWIP Desc. EKS'!E220</f>
        <v>O</v>
      </c>
      <c r="F260" s="546"/>
      <c r="G260" s="546">
        <f t="shared" si="18"/>
        <v>0</v>
      </c>
      <c r="H260" s="546">
        <f t="shared" ref="H260:H265" si="19">D260*0.5</f>
        <v>0</v>
      </c>
      <c r="I260" s="544"/>
      <c r="J260" s="545" t="str">
        <f>'Wrksht. H, CWIP Desc. EKS'!F220</f>
        <v>NFPA 70E COMPLIANCE</v>
      </c>
    </row>
    <row r="261" spans="1:10">
      <c r="A261" s="619">
        <f t="shared" si="17"/>
        <v>211</v>
      </c>
      <c r="B261" s="539" t="str">
        <f>'Wrksht. H, CWIP Desc. EKS'!B221</f>
        <v>1070002</v>
      </c>
      <c r="C261" s="540" t="str">
        <f>'Wrksht. H, CWIP Desc. EKS'!C221</f>
        <v>7100006</v>
      </c>
      <c r="D261" s="546">
        <f>'Wrksht. I, CWIP AFUDC Cre. EKS'!I222</f>
        <v>0</v>
      </c>
      <c r="E261" s="542" t="str">
        <f>'Wrksht. H, CWIP Desc. EKS'!E221</f>
        <v>O</v>
      </c>
      <c r="F261" s="546"/>
      <c r="G261" s="546">
        <f t="shared" si="18"/>
        <v>0</v>
      </c>
      <c r="H261" s="546">
        <f t="shared" si="19"/>
        <v>0</v>
      </c>
      <c r="I261" s="544"/>
      <c r="J261" s="545" t="str">
        <f>'Wrksht. H, CWIP Desc. EKS'!F221</f>
        <v>NON-CEP RELATED ACCRUALS</v>
      </c>
    </row>
    <row r="262" spans="1:10">
      <c r="A262" s="619">
        <f t="shared" si="17"/>
        <v>212</v>
      </c>
      <c r="B262" s="539" t="str">
        <f>'Wrksht. H, CWIP Desc. EKS'!B222</f>
        <v>1070002</v>
      </c>
      <c r="C262" s="540" t="str">
        <f>'Wrksht. H, CWIP Desc. EKS'!C222</f>
        <v>7200006</v>
      </c>
      <c r="D262" s="546">
        <f>'Wrksht. I, CWIP AFUDC Cre. EKS'!I223</f>
        <v>0</v>
      </c>
      <c r="E262" s="542" t="str">
        <f>'Wrksht. H, CWIP Desc. EKS'!E222</f>
        <v>O</v>
      </c>
      <c r="F262" s="546"/>
      <c r="G262" s="546">
        <f t="shared" si="18"/>
        <v>0</v>
      </c>
      <c r="H262" s="546">
        <f t="shared" si="19"/>
        <v>0</v>
      </c>
      <c r="I262" s="544"/>
      <c r="J262" s="545" t="str">
        <f>'Wrksht. H, CWIP Desc. EKS'!F222</f>
        <v>ACCRUAL</v>
      </c>
    </row>
    <row r="263" spans="1:10">
      <c r="A263" s="619">
        <f t="shared" si="17"/>
        <v>213</v>
      </c>
      <c r="B263" s="539">
        <f>'Wrksht. H, CWIP Desc. EKS'!B223</f>
        <v>1070004</v>
      </c>
      <c r="C263" s="540" t="str">
        <f>'Wrksht. H, CWIP Desc. EKS'!C223</f>
        <v>012512</v>
      </c>
      <c r="D263" s="546">
        <f>'Wrksht. I, CWIP AFUDC Cre. EKS'!I224</f>
        <v>0</v>
      </c>
      <c r="E263" s="542" t="str">
        <f>'Wrksht. H, CWIP Desc. EKS'!E223</f>
        <v>O</v>
      </c>
      <c r="F263" s="546"/>
      <c r="G263" s="546">
        <f t="shared" si="18"/>
        <v>0</v>
      </c>
      <c r="H263" s="546">
        <f t="shared" si="19"/>
        <v>0</v>
      </c>
      <c r="I263" s="544"/>
      <c r="J263" s="545" t="str">
        <f>'Wrksht. H, CWIP Desc. EKS'!F223</f>
        <v>RP081A &amp; B TC/CCM SYSTEM REPLACEMENT</v>
      </c>
    </row>
    <row r="264" spans="1:10">
      <c r="A264" s="757">
        <f t="shared" si="17"/>
        <v>214</v>
      </c>
      <c r="B264" s="547">
        <f>'Wrksht. H, CWIP Desc. EKS'!B224</f>
        <v>1070004</v>
      </c>
      <c r="C264" s="540" t="str">
        <f>'Wrksht. H, CWIP Desc. EKS'!C224</f>
        <v>013004</v>
      </c>
      <c r="D264" s="546">
        <f>'Wrksht. I, CWIP AFUDC Cre. EKS'!I225</f>
        <v>0</v>
      </c>
      <c r="E264" s="542" t="str">
        <f>'Wrksht. H, CWIP Desc. EKS'!E224</f>
        <v>O</v>
      </c>
      <c r="F264" s="546"/>
      <c r="G264" s="546">
        <f t="shared" si="18"/>
        <v>0</v>
      </c>
      <c r="H264" s="546">
        <f t="shared" si="19"/>
        <v>0</v>
      </c>
      <c r="I264" s="544"/>
      <c r="J264" s="545" t="str">
        <f>'Wrksht. H, CWIP Desc. EKS'!F224</f>
        <v>SECURITY SYSTEM CHANGES SYSTEM</v>
      </c>
    </row>
    <row r="265" spans="1:10">
      <c r="A265" s="757">
        <f t="shared" ref="A265:A326" si="20">A264+1</f>
        <v>215</v>
      </c>
      <c r="B265" s="547">
        <f>'Wrksht. H, CWIP Desc. EKS'!B225</f>
        <v>1070002</v>
      </c>
      <c r="C265" s="540" t="str">
        <f>'Wrksht. H, CWIP Desc. EKS'!C225</f>
        <v>7203239</v>
      </c>
      <c r="D265" s="546">
        <f>'Wrksht. I, CWIP AFUDC Cre. EKS'!I226</f>
        <v>0</v>
      </c>
      <c r="E265" s="542" t="str">
        <f>'Wrksht. H, CWIP Desc. EKS'!E225</f>
        <v>O</v>
      </c>
      <c r="F265" s="546"/>
      <c r="G265" s="546">
        <f t="shared" ref="G265:G272" si="21">IF(H265=0,D265,0)</f>
        <v>0</v>
      </c>
      <c r="H265" s="546">
        <f t="shared" si="19"/>
        <v>0</v>
      </c>
      <c r="I265" s="544"/>
      <c r="J265" s="545" t="str">
        <f>'Wrksht. H, CWIP Desc. EKS'!F225</f>
        <v>STAGING TRACK</v>
      </c>
    </row>
    <row r="266" spans="1:10">
      <c r="A266" s="757">
        <f t="shared" si="20"/>
        <v>216</v>
      </c>
      <c r="B266" s="547" t="str">
        <f>'Wrksht. H, CWIP Desc. EKS'!B226</f>
        <v>1070002</v>
      </c>
      <c r="C266" s="540" t="str">
        <f>'Wrksht. H, CWIP Desc. EKS'!C226</f>
        <v>JEC011005901</v>
      </c>
      <c r="D266" s="546">
        <f>'Wrksht. I, CWIP AFUDC Cre. EKS'!I227</f>
        <v>0</v>
      </c>
      <c r="E266" s="542" t="str">
        <f>'Wrksht. H, CWIP Desc. EKS'!E226</f>
        <v>PC</v>
      </c>
      <c r="F266" s="546"/>
      <c r="G266" s="546">
        <f t="shared" si="21"/>
        <v>0</v>
      </c>
      <c r="H266" s="546">
        <v>0</v>
      </c>
      <c r="I266" s="544"/>
      <c r="J266" s="545" t="str">
        <f>'Wrksht. H, CWIP Desc. EKS'!F226</f>
        <v>THE CONSENT DECREE ESTABLISHES THE</v>
      </c>
    </row>
    <row r="267" spans="1:10">
      <c r="A267" s="619">
        <f t="shared" si="20"/>
        <v>217</v>
      </c>
      <c r="B267" s="539" t="str">
        <f>'Wrksht. H, CWIP Desc. EKS'!B227</f>
        <v>1070002</v>
      </c>
      <c r="C267" s="540" t="str">
        <f>'Wrksht. H, CWIP Desc. EKS'!C227</f>
        <v>JEC011105801</v>
      </c>
      <c r="D267" s="546">
        <f>'Wrksht. I, CWIP AFUDC Cre. EKS'!I228</f>
        <v>0</v>
      </c>
      <c r="E267" s="542" t="str">
        <f>'Wrksht. H, CWIP Desc. EKS'!E227</f>
        <v>PC</v>
      </c>
      <c r="F267" s="546"/>
      <c r="G267" s="546">
        <f t="shared" si="21"/>
        <v>0</v>
      </c>
      <c r="H267" s="546">
        <v>0</v>
      </c>
      <c r="I267" s="544"/>
      <c r="J267" s="545" t="str">
        <f>'Wrksht. H, CWIP Desc. EKS'!F227</f>
        <v>BI #0111058 - J3 SMARTBURN AND SNCR</v>
      </c>
    </row>
    <row r="268" spans="1:10">
      <c r="A268" s="619">
        <f t="shared" si="20"/>
        <v>218</v>
      </c>
      <c r="B268" s="539" t="str">
        <f>'Wrksht. H, CWIP Desc. EKS'!B228</f>
        <v>1070004</v>
      </c>
      <c r="C268" s="540" t="str">
        <f>'Wrksht. H, CWIP Desc. EKS'!C228</f>
        <v>012834</v>
      </c>
      <c r="D268" s="546">
        <f>'Wrksht. I, CWIP AFUDC Cre. EKS'!I229</f>
        <v>0</v>
      </c>
      <c r="E268" s="542" t="str">
        <f>'Wrksht. H, CWIP Desc. EKS'!E228</f>
        <v>O</v>
      </c>
      <c r="F268" s="546"/>
      <c r="G268" s="546">
        <f t="shared" si="21"/>
        <v>0</v>
      </c>
      <c r="H268" s="546">
        <f>D268*0.5</f>
        <v>0</v>
      </c>
      <c r="I268" s="544"/>
      <c r="J268" s="545" t="str">
        <f>'Wrksht. H, CWIP Desc. EKS'!F228</f>
        <v>TURBINE SUPERVISORY INSTRUMENTATION</v>
      </c>
    </row>
    <row r="269" spans="1:10">
      <c r="A269" s="619">
        <f t="shared" si="20"/>
        <v>219</v>
      </c>
      <c r="B269" s="539" t="str">
        <f>'Wrksht. H, CWIP Desc. EKS'!B229</f>
        <v>1070004</v>
      </c>
      <c r="C269" s="540" t="str">
        <f>'Wrksht. H, CWIP Desc. EKS'!C229</f>
        <v>012961</v>
      </c>
      <c r="D269" s="546">
        <f>'Wrksht. I, CWIP AFUDC Cre. EKS'!I230</f>
        <v>0</v>
      </c>
      <c r="E269" s="542" t="str">
        <f>'Wrksht. H, CWIP Desc. EKS'!E229</f>
        <v>O</v>
      </c>
      <c r="F269" s="546"/>
      <c r="G269" s="546">
        <f t="shared" si="21"/>
        <v>0</v>
      </c>
      <c r="H269" s="546">
        <f>D269*0.5</f>
        <v>0</v>
      </c>
      <c r="I269" s="544"/>
      <c r="J269" s="545" t="str">
        <f>'Wrksht. H, CWIP Desc. EKS'!F229</f>
        <v>MAIN GENERATOR REWIND PROJECT</v>
      </c>
    </row>
    <row r="270" spans="1:10">
      <c r="A270" s="619">
        <f t="shared" si="20"/>
        <v>220</v>
      </c>
      <c r="B270" s="539" t="str">
        <f>'Wrksht. H, CWIP Desc. EKS'!B230</f>
        <v>1070004</v>
      </c>
      <c r="C270" s="540" t="str">
        <f>'Wrksht. H, CWIP Desc. EKS'!C230</f>
        <v>013017</v>
      </c>
      <c r="D270" s="546">
        <f>'Wrksht. I, CWIP AFUDC Cre. EKS'!I231</f>
        <v>0</v>
      </c>
      <c r="E270" s="542" t="str">
        <f>'Wrksht. H, CWIP Desc. EKS'!E230</f>
        <v>O</v>
      </c>
      <c r="F270" s="546"/>
      <c r="G270" s="546">
        <f t="shared" si="21"/>
        <v>0</v>
      </c>
      <c r="H270" s="546">
        <f>D270*0.5</f>
        <v>0</v>
      </c>
      <c r="I270" s="544"/>
      <c r="J270" s="545" t="str">
        <f>'Wrksht. H, CWIP Desc. EKS'!F230</f>
        <v>REPLACEMENT MOVABLE FLUX MAP SYSTEM</v>
      </c>
    </row>
    <row r="271" spans="1:10">
      <c r="A271" s="619">
        <f t="shared" si="20"/>
        <v>221</v>
      </c>
      <c r="B271" s="539" t="str">
        <f>'Wrksht. H, CWIP Desc. EKS'!B231</f>
        <v>1070004</v>
      </c>
      <c r="C271" s="540" t="str">
        <f>'Wrksht. H, CWIP Desc. EKS'!C231</f>
        <v>013380</v>
      </c>
      <c r="D271" s="546">
        <f>'Wrksht. I, CWIP AFUDC Cre. EKS'!I232</f>
        <v>0</v>
      </c>
      <c r="E271" s="542" t="str">
        <f>'Wrksht. H, CWIP Desc. EKS'!E231</f>
        <v>O</v>
      </c>
      <c r="F271" s="546"/>
      <c r="G271" s="546">
        <f t="shared" si="21"/>
        <v>0</v>
      </c>
      <c r="H271" s="546">
        <f>D271*0.5</f>
        <v>0</v>
      </c>
      <c r="I271" s="544"/>
      <c r="J271" s="545" t="str">
        <f>'Wrksht. H, CWIP Desc. EKS'!F231</f>
        <v>FEED PUMP SPEED CONTROL REPLACEMENT</v>
      </c>
    </row>
    <row r="272" spans="1:10">
      <c r="A272" s="619">
        <f t="shared" si="20"/>
        <v>222</v>
      </c>
      <c r="B272" s="539" t="str">
        <f>'Wrksht. H, CWIP Desc. EKS'!B232</f>
        <v>1070004</v>
      </c>
      <c r="C272" s="540" t="str">
        <f>'Wrksht. H, CWIP Desc. EKS'!C232</f>
        <v>013833</v>
      </c>
      <c r="D272" s="546">
        <f>'Wrksht. I, CWIP AFUDC Cre. EKS'!I233</f>
        <v>0</v>
      </c>
      <c r="E272" s="542" t="str">
        <f>'Wrksht. H, CWIP Desc. EKS'!E232</f>
        <v>O</v>
      </c>
      <c r="F272" s="546"/>
      <c r="G272" s="546">
        <f t="shared" si="21"/>
        <v>0</v>
      </c>
      <c r="H272" s="546">
        <f>D272*0.5</f>
        <v>0</v>
      </c>
      <c r="I272" s="544"/>
      <c r="J272" s="545" t="str">
        <f>'Wrksht. H, CWIP Desc. EKS'!F232</f>
        <v>ESW UNDERGROUND PIPE REPLACEMENT</v>
      </c>
    </row>
    <row r="273" spans="1:10">
      <c r="A273" s="619">
        <f t="shared" si="20"/>
        <v>223</v>
      </c>
      <c r="B273" s="539" t="str">
        <f>'Wrksht. H, CWIP Desc. EKS'!B233</f>
        <v>1070004</v>
      </c>
      <c r="C273" s="540" t="str">
        <f>'Wrksht. H, CWIP Desc. EKS'!C233</f>
        <v>013540</v>
      </c>
      <c r="D273" s="546">
        <f>'Wrksht. I, CWIP AFUDC Cre. EKS'!I234</f>
        <v>0</v>
      </c>
      <c r="E273" s="542" t="str">
        <f>'Wrksht. H, CWIP Desc. EKS'!E233</f>
        <v>FC</v>
      </c>
      <c r="F273" s="546"/>
      <c r="G273" s="546">
        <f t="shared" ref="G273:G281" si="22">IF(H273=0,D273,0)</f>
        <v>0</v>
      </c>
      <c r="H273" s="546">
        <v>0</v>
      </c>
      <c r="I273" s="544"/>
      <c r="J273" s="545" t="str">
        <f>'Wrksht. H, CWIP Desc. EKS'!F233</f>
        <v>RADWASTE BUILDING - WC007</v>
      </c>
    </row>
    <row r="274" spans="1:10">
      <c r="A274" s="619">
        <f t="shared" si="20"/>
        <v>224</v>
      </c>
      <c r="B274" s="539" t="str">
        <f>'Wrksht. H, CWIP Desc. EKS'!B234</f>
        <v>1070004</v>
      </c>
      <c r="C274" s="540" t="str">
        <f>'Wrksht. H, CWIP Desc. EKS'!C234</f>
        <v>013894</v>
      </c>
      <c r="D274" s="546">
        <f>'Wrksht. I, CWIP AFUDC Cre. EKS'!I235</f>
        <v>0</v>
      </c>
      <c r="E274" s="542" t="str">
        <f>'Wrksht. H, CWIP Desc. EKS'!E234</f>
        <v>O</v>
      </c>
      <c r="F274" s="546"/>
      <c r="G274" s="546">
        <f t="shared" si="22"/>
        <v>0</v>
      </c>
      <c r="H274" s="546">
        <f t="shared" ref="H274:H281" si="23">D274*0.5</f>
        <v>0</v>
      </c>
      <c r="I274" s="544"/>
      <c r="J274" s="545" t="str">
        <f>'Wrksht. H, CWIP Desc. EKS'!F234</f>
        <v>ESW PUMPHOUSE &amp; CHLORINE BUILDING - WC011</v>
      </c>
    </row>
    <row r="275" spans="1:10">
      <c r="A275" s="619">
        <f t="shared" si="20"/>
        <v>225</v>
      </c>
      <c r="B275" s="539" t="str">
        <f>'Wrksht. H, CWIP Desc. EKS'!B235</f>
        <v>1070004</v>
      </c>
      <c r="C275" s="540" t="str">
        <f>'Wrksht. H, CWIP Desc. EKS'!C235</f>
        <v>013948</v>
      </c>
      <c r="D275" s="546">
        <f>'Wrksht. I, CWIP AFUDC Cre. EKS'!I236</f>
        <v>0</v>
      </c>
      <c r="E275" s="542" t="str">
        <f>'Wrksht. H, CWIP Desc. EKS'!E235</f>
        <v>O</v>
      </c>
      <c r="F275" s="546"/>
      <c r="G275" s="546">
        <f t="shared" si="22"/>
        <v>0</v>
      </c>
      <c r="H275" s="546">
        <f t="shared" si="23"/>
        <v>0</v>
      </c>
      <c r="I275" s="544"/>
      <c r="J275" s="545" t="str">
        <f>'Wrksht. H, CWIP Desc. EKS'!F235</f>
        <v>CIRCULATING WATER STRUCTURE - INTAKE - WC014</v>
      </c>
    </row>
    <row r="276" spans="1:10">
      <c r="A276" s="619">
        <f t="shared" si="20"/>
        <v>226</v>
      </c>
      <c r="B276" s="539" t="str">
        <f>'Wrksht. H, CWIP Desc. EKS'!B236</f>
        <v>1070004</v>
      </c>
      <c r="C276" s="540" t="str">
        <f>'Wrksht. H, CWIP Desc. EKS'!C236</f>
        <v>013539</v>
      </c>
      <c r="D276" s="546">
        <f>'Wrksht. I, CWIP AFUDC Cre. EKS'!I237</f>
        <v>0</v>
      </c>
      <c r="E276" s="542" t="str">
        <f>'Wrksht. H, CWIP Desc. EKS'!E236</f>
        <v>O</v>
      </c>
      <c r="F276" s="546"/>
      <c r="G276" s="546">
        <f t="shared" si="22"/>
        <v>0</v>
      </c>
      <c r="H276" s="546">
        <f t="shared" si="23"/>
        <v>0</v>
      </c>
      <c r="I276" s="544"/>
      <c r="J276" s="545" t="str">
        <f>'Wrksht. H, CWIP Desc. EKS'!F236</f>
        <v>REACTOR BUILDING - WC002</v>
      </c>
    </row>
    <row r="277" spans="1:10">
      <c r="A277" s="619">
        <f t="shared" si="20"/>
        <v>227</v>
      </c>
      <c r="B277" s="539" t="str">
        <f>'Wrksht. H, CWIP Desc. EKS'!B237</f>
        <v>1070004</v>
      </c>
      <c r="C277" s="540" t="str">
        <f>'Wrksht. H, CWIP Desc. EKS'!C237</f>
        <v>012958</v>
      </c>
      <c r="D277" s="546">
        <f>'Wrksht. I, CWIP AFUDC Cre. EKS'!I238</f>
        <v>0</v>
      </c>
      <c r="E277" s="542" t="str">
        <f>'Wrksht. H, CWIP Desc. EKS'!E237</f>
        <v>O</v>
      </c>
      <c r="F277" s="546"/>
      <c r="G277" s="546">
        <f t="shared" si="22"/>
        <v>0</v>
      </c>
      <c r="H277" s="546">
        <f t="shared" si="23"/>
        <v>0</v>
      </c>
      <c r="I277" s="544"/>
      <c r="J277" s="545" t="str">
        <f>'Wrksht. H, CWIP Desc. EKS'!F237</f>
        <v>TURBINE BUILDING - WC004</v>
      </c>
    </row>
    <row r="278" spans="1:10">
      <c r="A278" s="619">
        <f t="shared" si="20"/>
        <v>228</v>
      </c>
      <c r="B278" s="539" t="str">
        <f>'Wrksht. H, CWIP Desc. EKS'!B238</f>
        <v>1070004</v>
      </c>
      <c r="C278" s="540" t="str">
        <f>'Wrksht. H, CWIP Desc. EKS'!C238</f>
        <v>012514</v>
      </c>
      <c r="D278" s="546">
        <f>'Wrksht. I, CWIP AFUDC Cre. EKS'!I239</f>
        <v>0</v>
      </c>
      <c r="E278" s="542" t="str">
        <f>'Wrksht. H, CWIP Desc. EKS'!E238</f>
        <v>O</v>
      </c>
      <c r="F278" s="546"/>
      <c r="G278" s="546">
        <f t="shared" si="22"/>
        <v>0</v>
      </c>
      <c r="H278" s="546">
        <f t="shared" si="23"/>
        <v>0</v>
      </c>
      <c r="I278" s="544"/>
      <c r="J278" s="545" t="str">
        <f>'Wrksht. H, CWIP Desc. EKS'!F238</f>
        <v>CONTROL BUILDING - WC003</v>
      </c>
    </row>
    <row r="279" spans="1:10" ht="26.4">
      <c r="A279" s="619">
        <f t="shared" si="20"/>
        <v>229</v>
      </c>
      <c r="B279" s="539" t="str">
        <f>'Wrksht. H, CWIP Desc. EKS'!B239</f>
        <v>1070004</v>
      </c>
      <c r="C279" s="540" t="str">
        <f>'Wrksht. H, CWIP Desc. EKS'!C239</f>
        <v>014176</v>
      </c>
      <c r="D279" s="546">
        <f>'Wrksht. I, CWIP AFUDC Cre. EKS'!I240</f>
        <v>0</v>
      </c>
      <c r="E279" s="542" t="str">
        <f>'Wrksht. H, CWIP Desc. EKS'!E239</f>
        <v>O</v>
      </c>
      <c r="F279" s="546"/>
      <c r="G279" s="546">
        <f t="shared" si="22"/>
        <v>0</v>
      </c>
      <c r="H279" s="546">
        <f t="shared" si="23"/>
        <v>0</v>
      </c>
      <c r="I279" s="544"/>
      <c r="J279" s="545" t="str">
        <f>'Wrksht. H, CWIP Desc. EKS'!F239</f>
        <v>ESWS SYSTEM - WC009.  ABOVE GROUND PIPE REPLACEMENT.</v>
      </c>
    </row>
    <row r="280" spans="1:10" ht="26.4">
      <c r="A280" s="619">
        <f t="shared" si="20"/>
        <v>230</v>
      </c>
      <c r="B280" s="539" t="str">
        <f>'Wrksht. H, CWIP Desc. EKS'!B240</f>
        <v>1070004</v>
      </c>
      <c r="C280" s="540" t="str">
        <f>'Wrksht. H, CWIP Desc. EKS'!C240</f>
        <v>013830</v>
      </c>
      <c r="D280" s="546">
        <f>'Wrksht. I, CWIP AFUDC Cre. EKS'!I241</f>
        <v>0</v>
      </c>
      <c r="E280" s="542" t="str">
        <f>'Wrksht. H, CWIP Desc. EKS'!E240</f>
        <v>O</v>
      </c>
      <c r="F280" s="546"/>
      <c r="G280" s="546">
        <f t="shared" si="22"/>
        <v>0</v>
      </c>
      <c r="H280" s="546">
        <f t="shared" si="23"/>
        <v>0</v>
      </c>
      <c r="I280" s="544"/>
      <c r="J280" s="545" t="str">
        <f>'Wrksht. H, CWIP Desc. EKS'!F240</f>
        <v>WC008.  ESSENTIAL SERVICE WATER ABOVE GROUND PIPE REPLACEMENT.</v>
      </c>
    </row>
    <row r="281" spans="1:10">
      <c r="A281" s="619">
        <f t="shared" si="20"/>
        <v>231</v>
      </c>
      <c r="B281" s="539" t="str">
        <f>'Wrksht. H, CWIP Desc. EKS'!B241</f>
        <v>1070004</v>
      </c>
      <c r="C281" s="540" t="str">
        <f>'Wrksht. H, CWIP Desc. EKS'!C241</f>
        <v>014117</v>
      </c>
      <c r="D281" s="546">
        <f>'Wrksht. I, CWIP AFUDC Cre. EKS'!I242</f>
        <v>0</v>
      </c>
      <c r="E281" s="542" t="str">
        <f>'Wrksht. H, CWIP Desc. EKS'!E241</f>
        <v>O</v>
      </c>
      <c r="F281" s="546"/>
      <c r="G281" s="546">
        <f t="shared" si="22"/>
        <v>0</v>
      </c>
      <c r="H281" s="546">
        <f t="shared" si="23"/>
        <v>0</v>
      </c>
      <c r="I281" s="544"/>
      <c r="J281" s="545" t="str">
        <f>'Wrksht. H, CWIP Desc. EKS'!F241</f>
        <v>WC008.  SBO DIESEL GENERATOR.</v>
      </c>
    </row>
    <row r="282" spans="1:10">
      <c r="A282" s="619">
        <f t="shared" si="20"/>
        <v>232</v>
      </c>
      <c r="B282" s="539">
        <f>'Wrksht. H, CWIP Desc. EKS'!B242</f>
        <v>10100</v>
      </c>
      <c r="C282" s="540" t="str">
        <f>'Wrksht. H, CWIP Desc. EKS'!C242</f>
        <v>05701 JEC011205201</v>
      </c>
      <c r="D282" s="546">
        <f>'Wrksht. I, CWIP AFUDC Cre. EKS'!I243</f>
        <v>0</v>
      </c>
      <c r="E282" s="542" t="str">
        <f>'Wrksht. H, CWIP Desc. EKS'!E242</f>
        <v>PC</v>
      </c>
      <c r="F282" s="546"/>
      <c r="G282" s="546">
        <f>IF(H282=0,D282,0)</f>
        <v>0</v>
      </c>
      <c r="H282" s="546">
        <f>D282*0.5</f>
        <v>0</v>
      </c>
      <c r="I282" s="544"/>
      <c r="J282" s="545" t="str">
        <f>'Wrksht. H, CWIP Desc. EKS'!F242</f>
        <v>J2 SNCR AND SMARTBURN INSTALLATION</v>
      </c>
    </row>
    <row r="283" spans="1:10" ht="26.4">
      <c r="A283" s="619">
        <f t="shared" si="20"/>
        <v>233</v>
      </c>
      <c r="B283" s="539">
        <f>'Wrksht. H, CWIP Desc. EKS'!B243</f>
        <v>10100</v>
      </c>
      <c r="C283" s="540" t="str">
        <f>'Wrksht. H, CWIP Desc. EKS'!C243</f>
        <v>05701 JEC011300301</v>
      </c>
      <c r="D283" s="546">
        <f>'Wrksht. I, CWIP AFUDC Cre. EKS'!I244</f>
        <v>0</v>
      </c>
      <c r="E283" s="542" t="str">
        <f>'Wrksht. H, CWIP Desc. EKS'!E243</f>
        <v>PC</v>
      </c>
      <c r="F283" s="546"/>
      <c r="G283" s="546">
        <f>IF(H283=0,D283,0)</f>
        <v>0</v>
      </c>
      <c r="H283" s="546">
        <f>D283*0.5</f>
        <v>0</v>
      </c>
      <c r="I283" s="544"/>
      <c r="J283" s="545" t="str">
        <f>'Wrksht. H, CWIP Desc. EKS'!F243</f>
        <v>BI #0113003 - JCOM FGD WASTEWATER TREATMENT SYSTEM</v>
      </c>
    </row>
    <row r="284" spans="1:10">
      <c r="A284" s="619">
        <f t="shared" si="20"/>
        <v>234</v>
      </c>
      <c r="B284" s="539">
        <f>'Wrksht. H, CWIP Desc. EKS'!B244</f>
        <v>10100</v>
      </c>
      <c r="C284" s="540" t="str">
        <f>'Wrksht. H, CWIP Desc. EKS'!C244</f>
        <v>05701 JEC011410201</v>
      </c>
      <c r="D284" s="546">
        <f>'Wrksht. I, CWIP AFUDC Cre. EKS'!I245</f>
        <v>0</v>
      </c>
      <c r="E284" s="542" t="str">
        <f>'Wrksht. H, CWIP Desc. EKS'!E244</f>
        <v>O</v>
      </c>
      <c r="F284" s="546"/>
      <c r="G284" s="546">
        <f>IF(H284=0,D284,0)</f>
        <v>0</v>
      </c>
      <c r="H284" s="546">
        <f>D284*0.5</f>
        <v>0</v>
      </c>
      <c r="I284" s="544"/>
      <c r="J284" s="545" t="str">
        <f>'Wrksht. H, CWIP Desc. EKS'!F244</f>
        <v>PROJECT 0114102 - J1 LP TURBINE UPGRADE</v>
      </c>
    </row>
    <row r="285" spans="1:10">
      <c r="A285" s="619">
        <f t="shared" si="20"/>
        <v>235</v>
      </c>
      <c r="B285" s="539">
        <f>'Wrksht. H, CWIP Desc. EKS'!B245</f>
        <v>10100</v>
      </c>
      <c r="C285" s="540" t="str">
        <f>'Wrksht. H, CWIP Desc. EKS'!C245</f>
        <v>05984 7003273</v>
      </c>
      <c r="D285" s="546">
        <f>'Wrksht. I, CWIP AFUDC Cre. EKS'!I246</f>
        <v>0</v>
      </c>
      <c r="E285" s="542" t="str">
        <f>'Wrksht. H, CWIP Desc. EKS'!E245</f>
        <v>O</v>
      </c>
      <c r="F285" s="546"/>
      <c r="G285" s="546">
        <f>IF(H285=0,D285,0)</f>
        <v>0</v>
      </c>
      <c r="H285" s="546">
        <f>D285*0.5</f>
        <v>0</v>
      </c>
      <c r="I285" s="544"/>
      <c r="J285" s="545" t="str">
        <f>'Wrksht. H, CWIP Desc. EKS'!F245</f>
        <v>REPLACE FUEL YARD DUCT BANK</v>
      </c>
    </row>
    <row r="286" spans="1:10">
      <c r="A286" s="619">
        <f t="shared" si="20"/>
        <v>236</v>
      </c>
      <c r="B286" s="539">
        <f>'Wrksht. H, CWIP Desc. EKS'!B246</f>
        <v>10100</v>
      </c>
      <c r="C286" s="540" t="str">
        <f>'Wrksht. H, CWIP Desc. EKS'!C246</f>
        <v>05984 7103267</v>
      </c>
      <c r="D286" s="546">
        <f>'Wrksht. I, CWIP AFUDC Cre. EKS'!I247</f>
        <v>0</v>
      </c>
      <c r="E286" s="542" t="str">
        <f>'Wrksht. H, CWIP Desc. EKS'!E246</f>
        <v>PC</v>
      </c>
      <c r="F286" s="546"/>
      <c r="G286" s="546">
        <f>IF(H286=0,D286,0)</f>
        <v>0</v>
      </c>
      <c r="H286" s="546">
        <f>D286*0.5</f>
        <v>0</v>
      </c>
      <c r="I286" s="544"/>
      <c r="J286" s="545" t="str">
        <f>'Wrksht. H, CWIP Desc. EKS'!F246</f>
        <v>LA CYGNE DCS UNIT 1</v>
      </c>
    </row>
    <row r="287" spans="1:10">
      <c r="A287" s="757">
        <f t="shared" si="20"/>
        <v>237</v>
      </c>
      <c r="B287" s="547">
        <f>'Wrksht. H, CWIP Desc. EKS'!B247</f>
        <v>10100</v>
      </c>
      <c r="C287" s="616" t="str">
        <f>'Wrksht. H, CWIP Desc. EKS'!C247</f>
        <v>05984 7003214</v>
      </c>
      <c r="D287" s="546">
        <f>'Wrksht. I, CWIP AFUDC Cre. EKS'!I248</f>
        <v>0</v>
      </c>
      <c r="E287" s="548" t="str">
        <f>'Wrksht. H, CWIP Desc. EKS'!E247</f>
        <v>PC</v>
      </c>
      <c r="F287" s="546"/>
      <c r="G287" s="546">
        <f t="shared" ref="G287:G295" si="24">IF(H287=0,D287,0)</f>
        <v>0</v>
      </c>
      <c r="H287" s="546">
        <v>0</v>
      </c>
      <c r="I287" s="553"/>
      <c r="J287" s="617" t="str">
        <f>'Wrksht. H, CWIP Desc. EKS'!F247</f>
        <v>LAC U1 ENVIRONMENTAL SITE RESTORATION</v>
      </c>
    </row>
    <row r="288" spans="1:10">
      <c r="A288" s="619">
        <f t="shared" si="20"/>
        <v>238</v>
      </c>
      <c r="B288" s="539">
        <f>'Wrksht. H, CWIP Desc. EKS'!B248</f>
        <v>10100</v>
      </c>
      <c r="C288" s="540" t="str">
        <f>'Wrksht. H, CWIP Desc. EKS'!C248</f>
        <v>J011412301</v>
      </c>
      <c r="D288" s="546">
        <f>'Wrksht. I, CWIP AFUDC Cre. EKS'!I249</f>
        <v>0</v>
      </c>
      <c r="E288" s="542" t="str">
        <f>'Wrksht. H, CWIP Desc. EKS'!E248</f>
        <v>O</v>
      </c>
      <c r="F288" s="546"/>
      <c r="G288" s="546">
        <f t="shared" si="24"/>
        <v>0</v>
      </c>
      <c r="H288" s="546">
        <f t="shared" ref="H288:H295" si="25">D288*0.5</f>
        <v>0</v>
      </c>
      <c r="I288" s="544"/>
      <c r="J288" s="545" t="str">
        <f>'Wrksht. H, CWIP Desc. EKS'!F248</f>
        <v>FOR MECHANICAL MAINTENANCE TO TIG w</v>
      </c>
    </row>
    <row r="289" spans="1:10">
      <c r="A289" s="619">
        <f t="shared" si="20"/>
        <v>239</v>
      </c>
      <c r="B289" s="539">
        <f>'Wrksht. H, CWIP Desc. EKS'!B249</f>
        <v>10100</v>
      </c>
      <c r="C289" s="540" t="str">
        <f>'Wrksht. H, CWIP Desc. EKS'!C249</f>
        <v>05984 10001005</v>
      </c>
      <c r="D289" s="546">
        <f>'Wrksht. I, CWIP AFUDC Cre. EKS'!I250</f>
        <v>0</v>
      </c>
      <c r="E289" s="542" t="str">
        <f>'Wrksht. H, CWIP Desc. EKS'!E249</f>
        <v>O</v>
      </c>
      <c r="F289" s="546"/>
      <c r="G289" s="546">
        <f t="shared" si="24"/>
        <v>0</v>
      </c>
      <c r="H289" s="546">
        <f t="shared" si="25"/>
        <v>0</v>
      </c>
      <c r="I289" s="544"/>
      <c r="J289" s="545" t="str">
        <f>'Wrksht. H, CWIP Desc. EKS'!F249</f>
        <v>L2 LP TURBINE BUCKET REPLACEMENT</v>
      </c>
    </row>
    <row r="290" spans="1:10">
      <c r="A290" s="619">
        <f t="shared" si="20"/>
        <v>240</v>
      </c>
      <c r="B290" s="539">
        <f>'Wrksht. H, CWIP Desc. EKS'!B250</f>
        <v>10100</v>
      </c>
      <c r="C290" s="540" t="str">
        <f>'Wrksht. H, CWIP Desc. EKS'!C250</f>
        <v>05984 10000422</v>
      </c>
      <c r="D290" s="546">
        <f>'Wrksht. I, CWIP AFUDC Cre. EKS'!I251</f>
        <v>0</v>
      </c>
      <c r="E290" s="542" t="str">
        <f>'Wrksht. H, CWIP Desc. EKS'!E250</f>
        <v>O</v>
      </c>
      <c r="F290" s="546"/>
      <c r="G290" s="546">
        <f t="shared" si="24"/>
        <v>0</v>
      </c>
      <c r="H290" s="546">
        <f t="shared" si="25"/>
        <v>0</v>
      </c>
      <c r="I290" s="544"/>
      <c r="J290" s="545" t="str">
        <f>'Wrksht. H, CWIP Desc. EKS'!F250</f>
        <v>REPLACE SSH OUTLET BANK L1</v>
      </c>
    </row>
    <row r="291" spans="1:10" ht="12.75" customHeight="1">
      <c r="A291" s="619">
        <f t="shared" si="20"/>
        <v>241</v>
      </c>
      <c r="B291" s="539">
        <f>'Wrksht. H, CWIP Desc. EKS'!B251</f>
        <v>10100</v>
      </c>
      <c r="C291" s="540" t="str">
        <f>'Wrksht. H, CWIP Desc. EKS'!C251</f>
        <v>05984 10000231</v>
      </c>
      <c r="D291" s="546">
        <f>'Wrksht. I, CWIP AFUDC Cre. EKS'!I252</f>
        <v>0</v>
      </c>
      <c r="E291" s="542" t="str">
        <f>'Wrksht. H, CWIP Desc. EKS'!E251</f>
        <v>O</v>
      </c>
      <c r="F291" s="546"/>
      <c r="G291" s="546">
        <f t="shared" si="24"/>
        <v>0</v>
      </c>
      <c r="H291" s="546">
        <f t="shared" si="25"/>
        <v>0</v>
      </c>
      <c r="I291" s="544"/>
      <c r="J291" s="545" t="str">
        <f>'Wrksht. H, CWIP Desc. EKS'!F251</f>
        <v>REPLACE GENERATOR STATOR WINDING &amp; WEDGES</v>
      </c>
    </row>
    <row r="292" spans="1:10">
      <c r="A292" s="619">
        <f t="shared" si="20"/>
        <v>242</v>
      </c>
      <c r="B292" s="539">
        <f>'Wrksht. H, CWIP Desc. EKS'!B252</f>
        <v>10100</v>
      </c>
      <c r="C292" s="540" t="str">
        <f>'Wrksht. H, CWIP Desc. EKS'!C252</f>
        <v>05984 7003262</v>
      </c>
      <c r="D292" s="546">
        <f>'Wrksht. I, CWIP AFUDC Cre. EKS'!I253</f>
        <v>0</v>
      </c>
      <c r="E292" s="542" t="str">
        <f>'Wrksht. H, CWIP Desc. EKS'!E252</f>
        <v>O</v>
      </c>
      <c r="F292" s="546"/>
      <c r="G292" s="546">
        <f t="shared" si="24"/>
        <v>0</v>
      </c>
      <c r="H292" s="546">
        <f t="shared" si="25"/>
        <v>0</v>
      </c>
      <c r="I292" s="544"/>
      <c r="J292" s="545" t="str">
        <f>'Wrksht. H, CWIP Desc. EKS'!F252</f>
        <v>LA CYGNE NONEXEMPT SALES-USE TX</v>
      </c>
    </row>
    <row r="293" spans="1:10">
      <c r="A293" s="619">
        <f t="shared" si="20"/>
        <v>243</v>
      </c>
      <c r="B293" s="539">
        <f>'Wrksht. H, CWIP Desc. EKS'!B253</f>
        <v>10100</v>
      </c>
      <c r="C293" s="540" t="str">
        <f>'Wrksht. H, CWIP Desc. EKS'!C253</f>
        <v>05984 10000421</v>
      </c>
      <c r="D293" s="546">
        <f>'Wrksht. I, CWIP AFUDC Cre. EKS'!I254</f>
        <v>0</v>
      </c>
      <c r="E293" s="542" t="str">
        <f>'Wrksht. H, CWIP Desc. EKS'!E253</f>
        <v>O</v>
      </c>
      <c r="F293" s="546"/>
      <c r="G293" s="546">
        <f t="shared" si="24"/>
        <v>0</v>
      </c>
      <c r="H293" s="546">
        <f t="shared" si="25"/>
        <v>0</v>
      </c>
      <c r="I293" s="544"/>
      <c r="J293" s="545" t="str">
        <f>'Wrksht. H, CWIP Desc. EKS'!F253</f>
        <v>REPLACE SSH INTERMEDIATE BANK L1</v>
      </c>
    </row>
    <row r="294" spans="1:10">
      <c r="A294" s="619">
        <f t="shared" si="20"/>
        <v>244</v>
      </c>
      <c r="B294" s="539">
        <f>'Wrksht. H, CWIP Desc. EKS'!B254</f>
        <v>10100</v>
      </c>
      <c r="C294" s="540" t="str">
        <f>'Wrksht. H, CWIP Desc. EKS'!C254</f>
        <v>05984 7203279</v>
      </c>
      <c r="D294" s="546">
        <f>'Wrksht. I, CWIP AFUDC Cre. EKS'!I255</f>
        <v>0</v>
      </c>
      <c r="E294" s="542" t="str">
        <f>'Wrksht. H, CWIP Desc. EKS'!E254</f>
        <v>O</v>
      </c>
      <c r="F294" s="546"/>
      <c r="G294" s="546">
        <f t="shared" si="24"/>
        <v>0</v>
      </c>
      <c r="H294" s="546">
        <f t="shared" si="25"/>
        <v>0</v>
      </c>
      <c r="I294" s="544"/>
      <c r="J294" s="545" t="str">
        <f>'Wrksht. H, CWIP Desc. EKS'!F254</f>
        <v>REPLACE HRH PIPING UNDER TURBINE</v>
      </c>
    </row>
    <row r="295" spans="1:10">
      <c r="A295" s="619">
        <f t="shared" si="20"/>
        <v>245</v>
      </c>
      <c r="B295" s="539">
        <f>'Wrksht. H, CWIP Desc. EKS'!B255</f>
        <v>10100</v>
      </c>
      <c r="C295" s="540" t="str">
        <f>'Wrksht. H, CWIP Desc. EKS'!C255</f>
        <v>05984 7203280</v>
      </c>
      <c r="D295" s="546">
        <f>'Wrksht. I, CWIP AFUDC Cre. EKS'!I256</f>
        <v>0</v>
      </c>
      <c r="E295" s="542" t="str">
        <f>'Wrksht. H, CWIP Desc. EKS'!E255</f>
        <v>O</v>
      </c>
      <c r="F295" s="546"/>
      <c r="G295" s="546">
        <f t="shared" si="24"/>
        <v>0</v>
      </c>
      <c r="H295" s="546">
        <f t="shared" si="25"/>
        <v>0</v>
      </c>
      <c r="I295" s="544"/>
      <c r="J295" s="545" t="str">
        <f>'Wrksht. H, CWIP Desc. EKS'!F255</f>
        <v>GENERATOR STATOR REWIND</v>
      </c>
    </row>
    <row r="296" spans="1:10">
      <c r="A296" s="619">
        <f t="shared" si="20"/>
        <v>246</v>
      </c>
      <c r="B296" s="539">
        <f>'Wrksht. H, CWIP Desc. EKS'!B256</f>
        <v>10100</v>
      </c>
      <c r="C296" s="540" t="str">
        <f>'Wrksht. H, CWIP Desc. EKS'!C256</f>
        <v>08400 013944</v>
      </c>
      <c r="D296" s="546">
        <f>'Wrksht. I, CWIP AFUDC Cre. EKS'!I257</f>
        <v>0</v>
      </c>
      <c r="E296" s="542" t="str">
        <f>'Wrksht. H, CWIP Desc. EKS'!E256</f>
        <v>O</v>
      </c>
      <c r="F296" s="546"/>
      <c r="G296" s="546">
        <f>IF(H296=0,D296,0)</f>
        <v>0</v>
      </c>
      <c r="H296" s="546">
        <f>D296*0.5</f>
        <v>0</v>
      </c>
      <c r="I296" s="544"/>
      <c r="J296" s="545" t="str">
        <f>'Wrksht. H, CWIP Desc. EKS'!F256</f>
        <v>REPAIR AK ACID TANK SYSTEM</v>
      </c>
    </row>
    <row r="297" spans="1:10">
      <c r="A297" s="619">
        <f t="shared" si="20"/>
        <v>247</v>
      </c>
      <c r="B297" s="539">
        <f>'Wrksht. H, CWIP Desc. EKS'!B257</f>
        <v>10100</v>
      </c>
      <c r="C297" s="540" t="str">
        <f>'Wrksht. H, CWIP Desc. EKS'!C257</f>
        <v>08400 014254</v>
      </c>
      <c r="D297" s="546">
        <f>'Wrksht. I, CWIP AFUDC Cre. EKS'!I258</f>
        <v>0</v>
      </c>
      <c r="E297" s="542" t="str">
        <f>'Wrksht. H, CWIP Desc. EKS'!E257</f>
        <v>O</v>
      </c>
      <c r="F297" s="546"/>
      <c r="G297" s="546">
        <f>IF(H297=0,D297,0)</f>
        <v>0</v>
      </c>
      <c r="H297" s="546">
        <f>D297*0.5</f>
        <v>0</v>
      </c>
      <c r="I297" s="544"/>
      <c r="J297" s="545" t="str">
        <f>'Wrksht. H, CWIP Desc. EKS'!F257</f>
        <v>IDS IMPROVEMENTS TO SITE BUILDINGS</v>
      </c>
    </row>
    <row r="298" spans="1:10">
      <c r="A298" s="619">
        <f t="shared" si="20"/>
        <v>248</v>
      </c>
      <c r="B298" s="539">
        <f>'Wrksht. H, CWIP Desc. EKS'!B258</f>
        <v>10100</v>
      </c>
      <c r="C298" s="540" t="str">
        <f>'Wrksht. H, CWIP Desc. EKS'!C258</f>
        <v>08400 014459</v>
      </c>
      <c r="D298" s="546">
        <f>'Wrksht. I, CWIP AFUDC Cre. EKS'!I259</f>
        <v>0</v>
      </c>
      <c r="E298" s="542" t="str">
        <f>'Wrksht. H, CWIP Desc. EKS'!E258</f>
        <v>O</v>
      </c>
      <c r="F298" s="546"/>
      <c r="G298" s="546">
        <f>IF(H298=0,D298,0)</f>
        <v>0</v>
      </c>
      <c r="H298" s="546">
        <f>D298*0.5</f>
        <v>0</v>
      </c>
      <c r="I298" s="544"/>
      <c r="J298" s="545" t="str">
        <f>'Wrksht. H, CWIP Desc. EKS'!F258</f>
        <v>FUKUSHIMA SHELTER 1 SYSTEM</v>
      </c>
    </row>
    <row r="299" spans="1:10">
      <c r="A299" s="619">
        <f t="shared" si="20"/>
        <v>249</v>
      </c>
      <c r="B299" s="539">
        <f>'Wrksht. H, CWIP Desc. EKS'!B259</f>
        <v>10100</v>
      </c>
      <c r="C299" s="540" t="str">
        <f>'Wrksht. H, CWIP Desc. EKS'!C259</f>
        <v>08400 014461</v>
      </c>
      <c r="D299" s="546">
        <f>'Wrksht. I, CWIP AFUDC Cre. EKS'!I260</f>
        <v>0</v>
      </c>
      <c r="E299" s="542" t="str">
        <f>'Wrksht. H, CWIP Desc. EKS'!E259</f>
        <v>O</v>
      </c>
      <c r="F299" s="546"/>
      <c r="G299" s="546">
        <f>IF(H299=0,D299,0)</f>
        <v>0</v>
      </c>
      <c r="H299" s="546">
        <f>D299*0.5</f>
        <v>0</v>
      </c>
      <c r="I299" s="544"/>
      <c r="J299" s="545" t="str">
        <f>'Wrksht. H, CWIP Desc. EKS'!F259</f>
        <v>FUKUSHIMA SHELTER 3 SYSTEM</v>
      </c>
    </row>
    <row r="300" spans="1:10">
      <c r="A300" s="619">
        <f t="shared" si="20"/>
        <v>250</v>
      </c>
      <c r="B300" s="539">
        <f>'Wrksht. H, CWIP Desc. EKS'!B260</f>
        <v>10100</v>
      </c>
      <c r="C300" s="540" t="str">
        <f>'Wrksht. H, CWIP Desc. EKS'!C260</f>
        <v>08400 014269</v>
      </c>
      <c r="D300" s="546">
        <f>'Wrksht. I, CWIP AFUDC Cre. EKS'!I261</f>
        <v>0</v>
      </c>
      <c r="E300" s="542" t="str">
        <f>'Wrksht. H, CWIP Desc. EKS'!E260</f>
        <v>O</v>
      </c>
      <c r="F300" s="546"/>
      <c r="G300" s="546">
        <f>IF(H300=0,D300,0)</f>
        <v>0</v>
      </c>
      <c r="H300" s="546">
        <f>D300*0.5</f>
        <v>0</v>
      </c>
      <c r="I300" s="544"/>
      <c r="J300" s="545" t="str">
        <f>'Wrksht. H, CWIP Desc. EKS'!F260</f>
        <v>MODIFICATION TO CLASS 1E AIR CONDITIONING</v>
      </c>
    </row>
    <row r="301" spans="1:10" ht="20.399999999999999">
      <c r="A301" s="1740" t="s">
        <v>2998</v>
      </c>
      <c r="B301" s="1740"/>
      <c r="C301" s="1740"/>
      <c r="D301" s="1740"/>
      <c r="E301" s="1740"/>
      <c r="F301" s="1740"/>
      <c r="G301" s="1740"/>
      <c r="H301" s="1740"/>
      <c r="I301" s="1740"/>
      <c r="J301" s="1740"/>
    </row>
    <row r="302" spans="1:10" ht="19.2">
      <c r="A302" s="1742" t="str">
        <f>A2</f>
        <v>For Contract Year Beginning June 1, 2024, Based on 2023 Data</v>
      </c>
      <c r="B302" s="1742"/>
      <c r="C302" s="1742"/>
      <c r="D302" s="1742"/>
      <c r="E302" s="1742"/>
      <c r="F302" s="1742"/>
      <c r="G302" s="1742"/>
      <c r="H302" s="1742"/>
      <c r="I302" s="1742"/>
      <c r="J302" s="1742"/>
    </row>
    <row r="303" spans="1:10" ht="13.8">
      <c r="A303" s="506"/>
      <c r="B303" s="506" t="s">
        <v>476</v>
      </c>
      <c r="C303" s="484"/>
      <c r="D303" s="484"/>
      <c r="E303" s="484"/>
      <c r="F303" s="484"/>
      <c r="G303" s="484"/>
      <c r="H303" s="507"/>
      <c r="I303" s="484"/>
      <c r="J303" s="484"/>
    </row>
    <row r="304" spans="1:10">
      <c r="A304" s="485"/>
      <c r="B304" s="485"/>
      <c r="C304" s="487"/>
      <c r="D304" s="763" t="s">
        <v>480</v>
      </c>
      <c r="E304" s="763" t="s">
        <v>481</v>
      </c>
      <c r="F304" s="763" t="s">
        <v>482</v>
      </c>
      <c r="G304" s="763" t="s">
        <v>483</v>
      </c>
      <c r="H304" s="763" t="s">
        <v>484</v>
      </c>
      <c r="I304" s="763" t="s">
        <v>884</v>
      </c>
      <c r="J304" s="763" t="s">
        <v>485</v>
      </c>
    </row>
    <row r="305" spans="1:10">
      <c r="A305" s="506"/>
      <c r="B305" s="506"/>
      <c r="C305" s="484"/>
      <c r="D305" s="764" t="s">
        <v>1545</v>
      </c>
      <c r="E305" s="765" t="s">
        <v>1578</v>
      </c>
      <c r="F305" s="766"/>
      <c r="G305" s="765">
        <v>1</v>
      </c>
      <c r="H305" s="765">
        <v>0.5</v>
      </c>
      <c r="I305" s="763" t="s">
        <v>468</v>
      </c>
      <c r="J305" s="764" t="s">
        <v>476</v>
      </c>
    </row>
    <row r="306" spans="1:10">
      <c r="A306" s="506"/>
      <c r="B306" s="506"/>
      <c r="C306" s="484"/>
      <c r="D306" s="764" t="s">
        <v>1568</v>
      </c>
      <c r="E306" s="763" t="s">
        <v>1583</v>
      </c>
      <c r="F306" s="763"/>
      <c r="G306" s="763" t="s">
        <v>116</v>
      </c>
      <c r="H306" s="763" t="s">
        <v>116</v>
      </c>
      <c r="I306" s="763" t="s">
        <v>1079</v>
      </c>
      <c r="J306" s="764" t="s">
        <v>15</v>
      </c>
    </row>
    <row r="307" spans="1:10">
      <c r="A307" s="506"/>
      <c r="B307" s="506"/>
      <c r="C307" s="484"/>
      <c r="D307" s="764" t="s">
        <v>1569</v>
      </c>
      <c r="E307" s="764" t="s">
        <v>221</v>
      </c>
      <c r="F307" s="763"/>
      <c r="G307" s="763" t="s">
        <v>1584</v>
      </c>
      <c r="H307" s="763" t="s">
        <v>1585</v>
      </c>
      <c r="I307" s="763" t="s">
        <v>299</v>
      </c>
      <c r="J307" s="764"/>
    </row>
    <row r="308" spans="1:10">
      <c r="A308" s="506"/>
      <c r="B308" s="506"/>
      <c r="C308" s="484"/>
      <c r="D308" s="763" t="s">
        <v>1949</v>
      </c>
      <c r="E308" s="764"/>
      <c r="F308" s="769"/>
      <c r="G308" s="511"/>
      <c r="H308" s="511"/>
      <c r="I308" s="770"/>
      <c r="J308" s="770"/>
    </row>
    <row r="309" spans="1:10">
      <c r="A309" s="506"/>
      <c r="B309" s="506"/>
      <c r="C309" s="484"/>
      <c r="D309" s="496"/>
      <c r="E309" s="496"/>
      <c r="F309" s="498"/>
      <c r="G309" s="767"/>
      <c r="H309" s="767"/>
      <c r="I309" s="486"/>
      <c r="J309" s="486"/>
    </row>
    <row r="310" spans="1:10">
      <c r="A310" s="499" t="s">
        <v>531</v>
      </c>
      <c r="B310" s="500" t="s">
        <v>1078</v>
      </c>
      <c r="C310" s="501" t="s">
        <v>1077</v>
      </c>
      <c r="D310" s="750"/>
      <c r="E310" s="892"/>
      <c r="F310" s="750"/>
      <c r="G310" s="750"/>
      <c r="H310" s="750"/>
      <c r="I310" s="528"/>
      <c r="J310" s="752"/>
    </row>
    <row r="311" spans="1:10" ht="12.75" customHeight="1">
      <c r="A311" s="619">
        <f>A300+1</f>
        <v>251</v>
      </c>
      <c r="B311" s="539">
        <f>'Wrksht. H, CWIP Desc. EKS'!B261</f>
        <v>10100</v>
      </c>
      <c r="C311" s="540" t="str">
        <f>'Wrksht. H, CWIP Desc. EKS'!C261</f>
        <v>08400 013321</v>
      </c>
      <c r="D311" s="546">
        <f>'Wrksht. I, CWIP AFUDC Cre. EKS'!I262</f>
        <v>-469024.79999999993</v>
      </c>
      <c r="E311" s="542" t="str">
        <f>'Wrksht. H, CWIP Desc. EKS'!E261</f>
        <v>O</v>
      </c>
      <c r="F311" s="546"/>
      <c r="G311" s="546">
        <f t="shared" ref="G311:G319" si="26">IF(H311=0,D311,0)</f>
        <v>0</v>
      </c>
      <c r="H311" s="546">
        <f t="shared" ref="H311:H319" si="27">D311*0.5</f>
        <v>-234512.39999999997</v>
      </c>
      <c r="I311" s="544"/>
      <c r="J311" s="545" t="str">
        <f>'Wrksht. H, CWIP Desc. EKS'!F261</f>
        <v>GL 2004-02 CONTAINMENT DEBRIS REDUC</v>
      </c>
    </row>
    <row r="312" spans="1:10" ht="12.75" customHeight="1">
      <c r="A312" s="619">
        <f t="shared" si="20"/>
        <v>252</v>
      </c>
      <c r="B312" s="539">
        <f>'Wrksht. H, CWIP Desc. EKS'!B262</f>
        <v>10100</v>
      </c>
      <c r="C312" s="540" t="str">
        <f>'Wrksht. H, CWIP Desc. EKS'!C262</f>
        <v>08400 014003</v>
      </c>
      <c r="D312" s="546">
        <f>'Wrksht. I, CWIP AFUDC Cre. EKS'!I263</f>
        <v>0</v>
      </c>
      <c r="E312" s="542" t="str">
        <f>'Wrksht. H, CWIP Desc. EKS'!E262</f>
        <v>O</v>
      </c>
      <c r="F312" s="546"/>
      <c r="G312" s="546">
        <f t="shared" si="26"/>
        <v>0</v>
      </c>
      <c r="H312" s="546">
        <f t="shared" si="27"/>
        <v>0</v>
      </c>
      <c r="I312" s="544"/>
      <c r="J312" s="545" t="str">
        <f>'Wrksht. H, CWIP Desc. EKS'!F262</f>
        <v>CONTAINMENT AIR COOLER REPLACEMENT_x000D_</v>
      </c>
    </row>
    <row r="313" spans="1:10" ht="12.75" customHeight="1">
      <c r="A313" s="619">
        <f t="shared" si="20"/>
        <v>253</v>
      </c>
      <c r="B313" s="539">
        <f>'Wrksht. H, CWIP Desc. EKS'!B263</f>
        <v>10100</v>
      </c>
      <c r="C313" s="540" t="str">
        <f>'Wrksht. H, CWIP Desc. EKS'!C263</f>
        <v>08400 501209</v>
      </c>
      <c r="D313" s="546">
        <f>'Wrksht. I, CWIP AFUDC Cre. EKS'!I264</f>
        <v>0</v>
      </c>
      <c r="E313" s="542" t="str">
        <f>'Wrksht. H, CWIP Desc. EKS'!E263</f>
        <v>O</v>
      </c>
      <c r="F313" s="546"/>
      <c r="G313" s="546">
        <f t="shared" si="26"/>
        <v>0</v>
      </c>
      <c r="H313" s="546">
        <f t="shared" si="27"/>
        <v>0</v>
      </c>
      <c r="I313" s="544"/>
      <c r="J313" s="545" t="str">
        <f>'Wrksht. H, CWIP Desc. EKS'!F263</f>
        <v>FUKISHIMA EVENT EVALUATIONS, DESIGN.</v>
      </c>
    </row>
    <row r="314" spans="1:10" ht="12.75" customHeight="1">
      <c r="A314" s="619">
        <f t="shared" si="20"/>
        <v>254</v>
      </c>
      <c r="B314" s="539">
        <f>'Wrksht. H, CWIP Desc. EKS'!B264</f>
        <v>10100</v>
      </c>
      <c r="C314" s="540" t="str">
        <f>'Wrksht. H, CWIP Desc. EKS'!C264</f>
        <v>08400 013424</v>
      </c>
      <c r="D314" s="546">
        <f>'Wrksht. I, CWIP AFUDC Cre. EKS'!I265</f>
        <v>0</v>
      </c>
      <c r="E314" s="542" t="str">
        <f>'Wrksht. H, CWIP Desc. EKS'!E264</f>
        <v>O</v>
      </c>
      <c r="F314" s="546"/>
      <c r="G314" s="546">
        <f t="shared" si="26"/>
        <v>0</v>
      </c>
      <c r="H314" s="546">
        <f t="shared" si="27"/>
        <v>0</v>
      </c>
      <c r="I314" s="544"/>
      <c r="J314" s="545" t="str">
        <f>'Wrksht. H, CWIP Desc. EKS'!F264</f>
        <v>ESW WATERHAMMER RESOLUTION SYSTEM</v>
      </c>
    </row>
    <row r="315" spans="1:10" s="1417" customFormat="1" ht="12.75" customHeight="1">
      <c r="A315" s="757">
        <f t="shared" si="20"/>
        <v>255</v>
      </c>
      <c r="B315" s="539">
        <f>'Wrksht. H, CWIP Desc. EKS'!B265</f>
        <v>10100</v>
      </c>
      <c r="C315" s="540" t="str">
        <f>'Wrksht. H, CWIP Desc. EKS'!C265</f>
        <v>J00622001</v>
      </c>
      <c r="D315" s="546">
        <f>'Wrksht. I, CWIP AFUDC Cre. EKS'!I266</f>
        <v>0</v>
      </c>
      <c r="E315" s="542" t="str">
        <f>'Wrksht. H, CWIP Desc. EKS'!E265</f>
        <v>O</v>
      </c>
      <c r="F315" s="546"/>
      <c r="G315" s="546">
        <f t="shared" si="26"/>
        <v>0</v>
      </c>
      <c r="H315" s="546">
        <f t="shared" si="27"/>
        <v>0</v>
      </c>
      <c r="I315" s="544"/>
      <c r="J315" s="545" t="str">
        <f>'Wrksht. H, CWIP Desc. EKS'!F265</f>
        <v>J2 LP Turbine Upgrade</v>
      </c>
    </row>
    <row r="316" spans="1:10" s="1417" customFormat="1" ht="12.75" customHeight="1">
      <c r="A316" s="619">
        <f t="shared" si="20"/>
        <v>256</v>
      </c>
      <c r="B316" s="539">
        <f>'Wrksht. H, CWIP Desc. EKS'!B266</f>
        <v>10100</v>
      </c>
      <c r="C316" s="540" t="str">
        <f>'Wrksht. H, CWIP Desc. EKS'!C266</f>
        <v>05984 7081500</v>
      </c>
      <c r="D316" s="546">
        <f>'Wrksht. I, CWIP AFUDC Cre. EKS'!I267</f>
        <v>0</v>
      </c>
      <c r="E316" s="542" t="str">
        <f>'Wrksht. H, CWIP Desc. EKS'!E266</f>
        <v>O</v>
      </c>
      <c r="F316" s="546"/>
      <c r="G316" s="546">
        <f t="shared" si="26"/>
        <v>0</v>
      </c>
      <c r="H316" s="546">
        <f t="shared" si="27"/>
        <v>0</v>
      </c>
      <c r="I316" s="544"/>
      <c r="J316" s="545" t="str">
        <f>'Wrksht. H, CWIP Desc. EKS'!F266</f>
        <v>Replace Microwave Tower at LaCygne</v>
      </c>
    </row>
    <row r="317" spans="1:10" s="1417" customFormat="1" ht="12.75" customHeight="1">
      <c r="A317" s="619">
        <f t="shared" si="20"/>
        <v>257</v>
      </c>
      <c r="B317" s="539">
        <f>'Wrksht. H, CWIP Desc. EKS'!B267</f>
        <v>10100</v>
      </c>
      <c r="C317" s="540" t="str">
        <f>'Wrksht. H, CWIP Desc. EKS'!C267</f>
        <v>05984 10000364</v>
      </c>
      <c r="D317" s="546">
        <f>'Wrksht. I, CWIP AFUDC Cre. EKS'!I268</f>
        <v>0</v>
      </c>
      <c r="E317" s="542" t="str">
        <f>'Wrksht. H, CWIP Desc. EKS'!E267</f>
        <v>O</v>
      </c>
      <c r="F317" s="546"/>
      <c r="G317" s="546">
        <f t="shared" si="26"/>
        <v>0</v>
      </c>
      <c r="H317" s="546">
        <f t="shared" si="27"/>
        <v>0</v>
      </c>
      <c r="I317" s="544"/>
      <c r="J317" s="545" t="str">
        <f>'Wrksht. H, CWIP Desc. EKS'!F267</f>
        <v>New Electric Startup BFP</v>
      </c>
    </row>
    <row r="318" spans="1:10" s="1417" customFormat="1" ht="12.75" customHeight="1">
      <c r="A318" s="1145">
        <f t="shared" si="20"/>
        <v>258</v>
      </c>
      <c r="B318" s="547">
        <f>'Wrksht. H, CWIP Desc. EKS'!B268</f>
        <v>10100</v>
      </c>
      <c r="C318" s="616" t="str">
        <f>'Wrksht. H, CWIP Desc. EKS'!C268</f>
        <v>05984 10000778</v>
      </c>
      <c r="D318" s="546">
        <f>'Wrksht. I, CWIP AFUDC Cre. EKS'!I269</f>
        <v>0</v>
      </c>
      <c r="E318" s="548" t="str">
        <f>'Wrksht. H, CWIP Desc. EKS'!E268</f>
        <v>O</v>
      </c>
      <c r="F318" s="546"/>
      <c r="G318" s="546">
        <f t="shared" si="26"/>
        <v>0</v>
      </c>
      <c r="H318" s="546">
        <f t="shared" si="27"/>
        <v>0</v>
      </c>
      <c r="I318" s="553"/>
      <c r="J318" s="617" t="str">
        <f>'Wrksht. H, CWIP Desc. EKS'!F268</f>
        <v>Add Chiller Bldg &amp; HVAC Chiller</v>
      </c>
    </row>
    <row r="319" spans="1:10" s="1417" customFormat="1" ht="12.75" customHeight="1">
      <c r="A319" s="619">
        <f t="shared" si="20"/>
        <v>259</v>
      </c>
      <c r="B319" s="539">
        <f>'Wrksht. H, CWIP Desc. EKS'!B269</f>
        <v>10100</v>
      </c>
      <c r="C319" s="540" t="str">
        <f>'Wrksht. H, CWIP Desc. EKS'!C269</f>
        <v>05984 10001304</v>
      </c>
      <c r="D319" s="546">
        <f>'Wrksht. I, CWIP AFUDC Cre. EKS'!I270</f>
        <v>0</v>
      </c>
      <c r="E319" s="542" t="str">
        <f>'Wrksht. H, CWIP Desc. EKS'!E269</f>
        <v>O</v>
      </c>
      <c r="F319" s="546"/>
      <c r="G319" s="546">
        <f t="shared" si="26"/>
        <v>0</v>
      </c>
      <c r="H319" s="546">
        <f t="shared" si="27"/>
        <v>0</v>
      </c>
      <c r="I319" s="544"/>
      <c r="J319" s="545" t="str">
        <f>'Wrksht. H, CWIP Desc. EKS'!F269</f>
        <v>Cost of Rem for Chimney</v>
      </c>
    </row>
    <row r="320" spans="1:10" s="1417" customFormat="1" ht="12.75" customHeight="1">
      <c r="A320" s="619">
        <f t="shared" si="20"/>
        <v>260</v>
      </c>
      <c r="B320" s="539">
        <f>'Wrksht. H, CWIP Desc. EKS'!B270</f>
        <v>10100</v>
      </c>
      <c r="C320" s="540" t="str">
        <f>'Wrksht. H, CWIP Desc. EKS'!C270</f>
        <v>05984 10002197</v>
      </c>
      <c r="D320" s="546">
        <f>'Wrksht. I, CWIP AFUDC Cre. EKS'!I271</f>
        <v>0</v>
      </c>
      <c r="E320" s="542" t="str">
        <f>'Wrksht. H, CWIP Desc. EKS'!E270</f>
        <v>O</v>
      </c>
      <c r="F320" s="546"/>
      <c r="G320" s="546">
        <f t="shared" ref="G320:G327" si="28">IF(H320=0,D320,0)</f>
        <v>0</v>
      </c>
      <c r="H320" s="546">
        <f t="shared" ref="H320:H327" si="29">D320*0.5</f>
        <v>0</v>
      </c>
      <c r="I320" s="544"/>
      <c r="J320" s="545" t="str">
        <f>'Wrksht. H, CWIP Desc. EKS'!F270</f>
        <v>LACYGNE COMMON - G08011</v>
      </c>
    </row>
    <row r="321" spans="1:10" s="1417" customFormat="1" ht="12.75" customHeight="1">
      <c r="A321" s="619">
        <f t="shared" si="20"/>
        <v>261</v>
      </c>
      <c r="B321" s="539">
        <f>'Wrksht. H, CWIP Desc. EKS'!B271</f>
        <v>10100</v>
      </c>
      <c r="C321" s="540" t="str">
        <f>'Wrksht. H, CWIP Desc. EKS'!C271</f>
        <v>05984 10001705</v>
      </c>
      <c r="D321" s="546">
        <f>'Wrksht. I, CWIP AFUDC Cre. EKS'!I272</f>
        <v>0</v>
      </c>
      <c r="E321" s="542" t="str">
        <f>'Wrksht. H, CWIP Desc. EKS'!E271</f>
        <v>O</v>
      </c>
      <c r="F321" s="546"/>
      <c r="G321" s="546">
        <f t="shared" si="28"/>
        <v>0</v>
      </c>
      <c r="H321" s="546">
        <f t="shared" si="29"/>
        <v>0</v>
      </c>
      <c r="I321" s="544"/>
      <c r="J321" s="545" t="str">
        <f>'Wrksht. H, CWIP Desc. EKS'!F271</f>
        <v>LACYGNE LEASE UNIT #2 VINTAGE YEAR DEPR - G08003</v>
      </c>
    </row>
    <row r="322" spans="1:10" s="1417" customFormat="1" ht="12.75" customHeight="1">
      <c r="A322" s="619">
        <f t="shared" si="20"/>
        <v>262</v>
      </c>
      <c r="B322" s="539">
        <f>'Wrksht. H, CWIP Desc. EKS'!B272</f>
        <v>10100</v>
      </c>
      <c r="C322" s="540" t="str">
        <f>'Wrksht. H, CWIP Desc. EKS'!C272</f>
        <v>05984 10001867</v>
      </c>
      <c r="D322" s="546">
        <f>'Wrksht. I, CWIP AFUDC Cre. EKS'!I273</f>
        <v>0</v>
      </c>
      <c r="E322" s="542" t="str">
        <f>'Wrksht. H, CWIP Desc. EKS'!E272</f>
        <v>O</v>
      </c>
      <c r="F322" s="546"/>
      <c r="G322" s="546">
        <f t="shared" si="28"/>
        <v>0</v>
      </c>
      <c r="H322" s="546">
        <f t="shared" si="29"/>
        <v>0</v>
      </c>
      <c r="I322" s="544"/>
      <c r="J322" s="545" t="str">
        <f>'Wrksht. H, CWIP Desc. EKS'!F272</f>
        <v>LACYGNE LEASE UNIT #2 VINTAGE YEAR DEPR - G08003</v>
      </c>
    </row>
    <row r="323" spans="1:10" s="1417" customFormat="1" ht="12.75" customHeight="1">
      <c r="A323" s="619">
        <f t="shared" si="20"/>
        <v>263</v>
      </c>
      <c r="B323" s="539">
        <f>'Wrksht. H, CWIP Desc. EKS'!B273</f>
        <v>10100</v>
      </c>
      <c r="C323" s="540" t="str">
        <f>'Wrksht. H, CWIP Desc. EKS'!C273</f>
        <v>05984 10002361</v>
      </c>
      <c r="D323" s="546">
        <f>'Wrksht. I, CWIP AFUDC Cre. EKS'!I274</f>
        <v>0</v>
      </c>
      <c r="E323" s="542" t="str">
        <f>'Wrksht. H, CWIP Desc. EKS'!E273</f>
        <v>O</v>
      </c>
      <c r="F323" s="546"/>
      <c r="G323" s="546">
        <f t="shared" si="28"/>
        <v>0</v>
      </c>
      <c r="H323" s="546">
        <f t="shared" si="29"/>
        <v>0</v>
      </c>
      <c r="I323" s="544"/>
      <c r="J323" s="545" t="str">
        <f>'Wrksht. H, CWIP Desc. EKS'!F273</f>
        <v>LACYGNE LEASE UNIT #2 VINTAGE YEAR DEPR - G08003</v>
      </c>
    </row>
    <row r="324" spans="1:10" s="1417" customFormat="1" ht="12.75" customHeight="1">
      <c r="A324" s="619">
        <f t="shared" si="20"/>
        <v>264</v>
      </c>
      <c r="B324" s="539">
        <f>'Wrksht. H, CWIP Desc. EKS'!B274</f>
        <v>10100</v>
      </c>
      <c r="C324" s="540" t="str">
        <f>'Wrksht. H, CWIP Desc. EKS'!C274</f>
        <v>J01089301</v>
      </c>
      <c r="D324" s="546">
        <f>'Wrksht. I, CWIP AFUDC Cre. EKS'!I275</f>
        <v>0</v>
      </c>
      <c r="E324" s="542" t="str">
        <f>'Wrksht. H, CWIP Desc. EKS'!E274</f>
        <v>O</v>
      </c>
      <c r="F324" s="546"/>
      <c r="G324" s="546">
        <f t="shared" si="28"/>
        <v>0</v>
      </c>
      <c r="H324" s="546">
        <f t="shared" si="29"/>
        <v>0</v>
      </c>
      <c r="I324" s="544"/>
      <c r="J324" s="545" t="str">
        <f>'Wrksht. H, CWIP Desc. EKS'!F274</f>
        <v>JEC #3 - G02503.  J3 LP TURBINE UPGRADE.</v>
      </c>
    </row>
    <row r="325" spans="1:10" s="1417" customFormat="1" ht="12.75" customHeight="1">
      <c r="A325" s="619">
        <f t="shared" si="20"/>
        <v>265</v>
      </c>
      <c r="B325" s="539">
        <f>'Wrksht. H, CWIP Desc. EKS'!B275</f>
        <v>10100</v>
      </c>
      <c r="C325" s="540" t="str">
        <f>'Wrksht. H, CWIP Desc. EKS'!C275</f>
        <v>05984 10001725</v>
      </c>
      <c r="D325" s="546">
        <f>'Wrksht. I, CWIP AFUDC Cre. EKS'!I276</f>
        <v>0</v>
      </c>
      <c r="E325" s="542" t="str">
        <f>'Wrksht. H, CWIP Desc. EKS'!E275</f>
        <v>O</v>
      </c>
      <c r="F325" s="546"/>
      <c r="G325" s="546">
        <f t="shared" si="28"/>
        <v>0</v>
      </c>
      <c r="H325" s="546">
        <f t="shared" si="29"/>
        <v>0</v>
      </c>
      <c r="I325" s="544"/>
      <c r="J325" s="545" t="str">
        <f>'Wrksht. H, CWIP Desc. EKS'!F275</f>
        <v>LACYGNE COMMON - G08011</v>
      </c>
    </row>
    <row r="326" spans="1:10" s="1417" customFormat="1" ht="12.75" customHeight="1">
      <c r="A326" s="619">
        <f t="shared" si="20"/>
        <v>266</v>
      </c>
      <c r="B326" s="539">
        <f>'Wrksht. H, CWIP Desc. EKS'!B276</f>
        <v>10100</v>
      </c>
      <c r="C326" s="540" t="str">
        <f>'Wrksht. H, CWIP Desc. EKS'!C276</f>
        <v>05984 10001303</v>
      </c>
      <c r="D326" s="546">
        <f>'Wrksht. I, CWIP AFUDC Cre. EKS'!I277</f>
        <v>0</v>
      </c>
      <c r="E326" s="542" t="str">
        <f>'Wrksht. H, CWIP Desc. EKS'!E276</f>
        <v>O</v>
      </c>
      <c r="F326" s="546"/>
      <c r="G326" s="546">
        <f t="shared" si="28"/>
        <v>0</v>
      </c>
      <c r="H326" s="546">
        <f t="shared" si="29"/>
        <v>0</v>
      </c>
      <c r="I326" s="544"/>
      <c r="J326" s="545" t="str">
        <f>'Wrksht. H, CWIP Desc. EKS'!F276</f>
        <v>LACYGNE LEASE UNIT #2 VINTAGE YEAR DEPR - G08003</v>
      </c>
    </row>
    <row r="327" spans="1:10" s="1417" customFormat="1" ht="12.75" customHeight="1">
      <c r="A327" s="619">
        <f>A326+1</f>
        <v>267</v>
      </c>
      <c r="B327" s="539">
        <f>'Wrksht. H, CWIP Desc. EKS'!B277</f>
        <v>10100</v>
      </c>
      <c r="C327" s="540" t="str">
        <f>'Wrksht. H, CWIP Desc. EKS'!C277</f>
        <v>05984 10001954</v>
      </c>
      <c r="D327" s="546">
        <f>'Wrksht. I, CWIP AFUDC Cre. EKS'!I278</f>
        <v>0</v>
      </c>
      <c r="E327" s="542" t="str">
        <f>'Wrksht. H, CWIP Desc. EKS'!E277</f>
        <v>O</v>
      </c>
      <c r="F327" s="546"/>
      <c r="G327" s="546">
        <f t="shared" si="28"/>
        <v>0</v>
      </c>
      <c r="H327" s="546">
        <f t="shared" si="29"/>
        <v>0</v>
      </c>
      <c r="I327" s="544"/>
      <c r="J327" s="545" t="str">
        <f>'Wrksht. H, CWIP Desc. EKS'!F277</f>
        <v>LACYGNE #1 - G08001</v>
      </c>
    </row>
    <row r="328" spans="1:10" s="1417" customFormat="1" ht="12.75" customHeight="1">
      <c r="A328" s="619">
        <f t="shared" ref="A328:A359" si="30">A327+1</f>
        <v>268</v>
      </c>
      <c r="B328" s="539">
        <f>'Wrksht. H, CWIP Desc. EKS'!B278</f>
        <v>10100</v>
      </c>
      <c r="C328" s="540" t="str">
        <f>'Wrksht. H, CWIP Desc. EKS'!C278</f>
        <v>08400 014966</v>
      </c>
      <c r="D328" s="546">
        <f>'Wrksht. I, CWIP AFUDC Cre. EKS'!I279</f>
        <v>0</v>
      </c>
      <c r="E328" s="542" t="str">
        <f>'Wrksht. H, CWIP Desc. EKS'!E278</f>
        <v>O</v>
      </c>
      <c r="F328" s="546"/>
      <c r="G328" s="546">
        <f t="shared" ref="G328:G337" si="31">IF(H328=0,D328,0)</f>
        <v>0</v>
      </c>
      <c r="H328" s="546">
        <f t="shared" ref="H328:H337" si="32">D328*0.5</f>
        <v>0</v>
      </c>
      <c r="I328" s="544"/>
      <c r="J328" s="545" t="str">
        <f>'Wrksht. H, CWIP Desc. EKS'!F278</f>
        <v>SECURITY COMPUTER SYSTEM CYBER SECURITY</v>
      </c>
    </row>
    <row r="329" spans="1:10" s="1417" customFormat="1" ht="12.75" customHeight="1">
      <c r="A329" s="619">
        <f t="shared" si="30"/>
        <v>269</v>
      </c>
      <c r="B329" s="539">
        <f>'Wrksht. H, CWIP Desc. EKS'!B279</f>
        <v>10100</v>
      </c>
      <c r="C329" s="540" t="str">
        <f>'Wrksht. H, CWIP Desc. EKS'!C279</f>
        <v>08400 013324</v>
      </c>
      <c r="D329" s="546">
        <f>'Wrksht. I, CWIP AFUDC Cre. EKS'!I280</f>
        <v>0</v>
      </c>
      <c r="E329" s="542" t="str">
        <f>'Wrksht. H, CWIP Desc. EKS'!E279</f>
        <v>O</v>
      </c>
      <c r="F329" s="546"/>
      <c r="G329" s="546">
        <f t="shared" si="31"/>
        <v>0</v>
      </c>
      <c r="H329" s="546">
        <f t="shared" si="32"/>
        <v>0</v>
      </c>
      <c r="I329" s="544"/>
      <c r="J329" s="545" t="str">
        <f>'Wrksht. H, CWIP Desc. EKS'!F279</f>
        <v xml:space="preserve">FEEDWATER CONTROL REPLACEMENT SYSTEM
</v>
      </c>
    </row>
    <row r="330" spans="1:10" s="1417" customFormat="1" ht="12.75" customHeight="1">
      <c r="A330" s="619">
        <f t="shared" si="30"/>
        <v>270</v>
      </c>
      <c r="B330" s="539">
        <f>'Wrksht. H, CWIP Desc. EKS'!B280</f>
        <v>10100</v>
      </c>
      <c r="C330" s="540" t="str">
        <f>'Wrksht. H, CWIP Desc. EKS'!C280</f>
        <v>08400 014998</v>
      </c>
      <c r="D330" s="546">
        <f>'Wrksht. I, CWIP AFUDC Cre. EKS'!I281</f>
        <v>0</v>
      </c>
      <c r="E330" s="542" t="str">
        <f>'Wrksht. H, CWIP Desc. EKS'!E280</f>
        <v>O</v>
      </c>
      <c r="F330" s="546"/>
      <c r="G330" s="546">
        <f>IF(H330=0,D330,0)</f>
        <v>0</v>
      </c>
      <c r="H330" s="546">
        <f>D330*0.5</f>
        <v>0</v>
      </c>
      <c r="I330" s="544"/>
      <c r="J330" s="545" t="str">
        <f>'Wrksht. H, CWIP Desc. EKS'!F280</f>
        <v>RF22 SWYD MODS - STARTUP TRANSFORMER</v>
      </c>
    </row>
    <row r="331" spans="1:10" s="1417" customFormat="1" ht="12.75" customHeight="1">
      <c r="A331" s="619">
        <f>A330+1</f>
        <v>271</v>
      </c>
      <c r="B331" s="539">
        <f>'Wrksht. H, CWIP Desc. EKS'!B281</f>
        <v>10100</v>
      </c>
      <c r="C331" s="540" t="str">
        <f>'Wrksht. H, CWIP Desc. EKS'!C281</f>
        <v>08400 014389</v>
      </c>
      <c r="D331" s="546">
        <f>'Wrksht. I, CWIP AFUDC Cre. EKS'!I282</f>
        <v>0</v>
      </c>
      <c r="E331" s="542" t="str">
        <f>'Wrksht. H, CWIP Desc. EKS'!E281</f>
        <v>O</v>
      </c>
      <c r="F331" s="546"/>
      <c r="G331" s="546">
        <f t="shared" si="31"/>
        <v>0</v>
      </c>
      <c r="H331" s="546">
        <f t="shared" si="32"/>
        <v>0</v>
      </c>
      <c r="I331" s="544"/>
      <c r="J331" s="545" t="str">
        <f>'Wrksht. H, CWIP Desc. EKS'!F281</f>
        <v>ESW PROTECTED AREA AND INFRASTRUCTURE</v>
      </c>
    </row>
    <row r="332" spans="1:10" s="1417" customFormat="1" ht="12.75" customHeight="1">
      <c r="A332" s="619">
        <f t="shared" si="30"/>
        <v>272</v>
      </c>
      <c r="B332" s="539">
        <f>'Wrksht. H, CWIP Desc. EKS'!B282</f>
        <v>10100</v>
      </c>
      <c r="C332" s="540" t="str">
        <f>'Wrksht. H, CWIP Desc. EKS'!C282</f>
        <v>08400 014863</v>
      </c>
      <c r="D332" s="546">
        <f>'Wrksht. I, CWIP AFUDC Cre. EKS'!I283</f>
        <v>0</v>
      </c>
      <c r="E332" s="542" t="str">
        <f>'Wrksht. H, CWIP Desc. EKS'!E282</f>
        <v>O</v>
      </c>
      <c r="F332" s="546"/>
      <c r="G332" s="546">
        <f t="shared" si="31"/>
        <v>0</v>
      </c>
      <c r="H332" s="546">
        <f t="shared" si="32"/>
        <v>0</v>
      </c>
      <c r="I332" s="544"/>
      <c r="J332" s="545" t="str">
        <f>'Wrksht. H, CWIP Desc. EKS'!F282</f>
        <v>CONTAINMENT AIR COOLER REPLACEMENT</v>
      </c>
    </row>
    <row r="333" spans="1:10" s="1417" customFormat="1" ht="12.75" customHeight="1">
      <c r="A333" s="619">
        <f t="shared" si="30"/>
        <v>273</v>
      </c>
      <c r="B333" s="539">
        <f>'Wrksht. H, CWIP Desc. EKS'!B283</f>
        <v>10100</v>
      </c>
      <c r="C333" s="540" t="str">
        <f>'Wrksht. H, CWIP Desc. EKS'!C283</f>
        <v>08400 501423</v>
      </c>
      <c r="D333" s="546">
        <f>'Wrksht. I, CWIP AFUDC Cre. EKS'!I284</f>
        <v>6940484.6899999995</v>
      </c>
      <c r="E333" s="542" t="str">
        <f>'Wrksht. H, CWIP Desc. EKS'!E283</f>
        <v>O</v>
      </c>
      <c r="F333" s="546"/>
      <c r="G333" s="546">
        <f t="shared" si="31"/>
        <v>0</v>
      </c>
      <c r="H333" s="546">
        <f t="shared" si="32"/>
        <v>3470242.3449999997</v>
      </c>
      <c r="I333" s="544"/>
      <c r="J333" s="545" t="str">
        <f>'Wrksht. H, CWIP Desc. EKS'!F283</f>
        <v>LICENSE RENEWAL UPDATE CAPITAL</v>
      </c>
    </row>
    <row r="334" spans="1:10" s="1417" customFormat="1" ht="12.75" customHeight="1">
      <c r="A334" s="619">
        <f t="shared" si="30"/>
        <v>274</v>
      </c>
      <c r="B334" s="539">
        <f>'Wrksht. H, CWIP Desc. EKS'!B284</f>
        <v>10100</v>
      </c>
      <c r="C334" s="540" t="str">
        <f>'Wrksht. H, CWIP Desc. EKS'!C284</f>
        <v>08400 015044</v>
      </c>
      <c r="D334" s="546">
        <f>'Wrksht. I, CWIP AFUDC Cre. EKS'!I285</f>
        <v>0</v>
      </c>
      <c r="E334" s="542" t="str">
        <f>'Wrksht. H, CWIP Desc. EKS'!E284</f>
        <v>O</v>
      </c>
      <c r="F334" s="546"/>
      <c r="G334" s="546">
        <f t="shared" si="31"/>
        <v>0</v>
      </c>
      <c r="H334" s="546">
        <f t="shared" si="32"/>
        <v>0</v>
      </c>
      <c r="I334" s="544"/>
      <c r="J334" s="545" t="str">
        <f>'Wrksht. H, CWIP Desc. EKS'!F284</f>
        <v>SPENT FUEL POOL BRIDGE CRANE (HKE04</v>
      </c>
    </row>
    <row r="335" spans="1:10" s="1417" customFormat="1" ht="12.75" customHeight="1">
      <c r="A335" s="619">
        <f t="shared" si="30"/>
        <v>275</v>
      </c>
      <c r="B335" s="539">
        <f>'Wrksht. H, CWIP Desc. EKS'!B285</f>
        <v>10100</v>
      </c>
      <c r="C335" s="540" t="str">
        <f>'Wrksht. H, CWIP Desc. EKS'!C285</f>
        <v>08400 014504</v>
      </c>
      <c r="D335" s="546">
        <f>'Wrksht. I, CWIP AFUDC Cre. EKS'!I286</f>
        <v>0</v>
      </c>
      <c r="E335" s="542" t="str">
        <f>'Wrksht. H, CWIP Desc. EKS'!E285</f>
        <v>O</v>
      </c>
      <c r="F335" s="546"/>
      <c r="G335" s="546">
        <f t="shared" si="31"/>
        <v>0</v>
      </c>
      <c r="H335" s="546">
        <f t="shared" si="32"/>
        <v>0</v>
      </c>
      <c r="I335" s="544"/>
      <c r="J335" s="545" t="str">
        <f>'Wrksht. H, CWIP Desc. EKS'!F285</f>
        <v>GROUND WATER EVALUATION AND DEWATER</v>
      </c>
    </row>
    <row r="336" spans="1:10" s="1417" customFormat="1" ht="12.75" customHeight="1">
      <c r="A336" s="619">
        <f t="shared" si="30"/>
        <v>276</v>
      </c>
      <c r="B336" s="539">
        <f>'Wrksht. H, CWIP Desc. EKS'!B286</f>
        <v>10100</v>
      </c>
      <c r="C336" s="540" t="str">
        <f>'Wrksht. H, CWIP Desc. EKS'!C286</f>
        <v>08400 013924</v>
      </c>
      <c r="D336" s="546">
        <f>'Wrksht. I, CWIP AFUDC Cre. EKS'!I287</f>
        <v>0</v>
      </c>
      <c r="E336" s="542" t="str">
        <f>'Wrksht. H, CWIP Desc. EKS'!E286</f>
        <v>O</v>
      </c>
      <c r="F336" s="546"/>
      <c r="G336" s="546">
        <f t="shared" si="31"/>
        <v>0</v>
      </c>
      <c r="H336" s="546">
        <f t="shared" si="32"/>
        <v>0</v>
      </c>
      <c r="I336" s="544"/>
      <c r="J336" s="545" t="str">
        <f>'Wrksht. H, CWIP Desc. EKS'!F286</f>
        <v>INDEPENDENT SPENT FUEL STORAGE INSTALLATION</v>
      </c>
    </row>
    <row r="337" spans="1:10" s="1417" customFormat="1" ht="12.75" customHeight="1">
      <c r="A337" s="619">
        <f t="shared" si="30"/>
        <v>277</v>
      </c>
      <c r="B337" s="539">
        <f>'Wrksht. H, CWIP Desc. EKS'!B287</f>
        <v>10100</v>
      </c>
      <c r="C337" s="540" t="str">
        <f>'Wrksht. H, CWIP Desc. EKS'!C287</f>
        <v>08400 013979</v>
      </c>
      <c r="D337" s="546">
        <f>'Wrksht. I, CWIP AFUDC Cre. EKS'!I288</f>
        <v>0</v>
      </c>
      <c r="E337" s="542" t="str">
        <f>'Wrksht. H, CWIP Desc. EKS'!E287</f>
        <v>O</v>
      </c>
      <c r="F337" s="546"/>
      <c r="G337" s="546">
        <f t="shared" si="31"/>
        <v>0</v>
      </c>
      <c r="H337" s="546">
        <f t="shared" si="32"/>
        <v>0</v>
      </c>
      <c r="I337" s="544"/>
      <c r="J337" s="545" t="str">
        <f>'Wrksht. H, CWIP Desc. EKS'!F287</f>
        <v>MODIFICATION TO ACCESS CONTROL</v>
      </c>
    </row>
    <row r="338" spans="1:10" s="1417" customFormat="1" ht="12.75" customHeight="1">
      <c r="A338" s="757">
        <f t="shared" si="30"/>
        <v>278</v>
      </c>
      <c r="B338" s="547" t="str">
        <f>'Wrksht. H, CWIP Desc. EKS'!B288</f>
        <v>10100</v>
      </c>
      <c r="C338" s="616" t="str">
        <f>'Wrksht. H, CWIP Desc. EKS'!C288</f>
        <v>05984 10002398</v>
      </c>
      <c r="D338" s="546">
        <f>'Wrksht. I, CWIP AFUDC Cre. EKS'!I289</f>
        <v>0</v>
      </c>
      <c r="E338" s="548" t="str">
        <f>'Wrksht. H, CWIP Desc. EKS'!E288</f>
        <v>O</v>
      </c>
      <c r="F338" s="546"/>
      <c r="G338" s="546">
        <f t="shared" ref="G338:G346" si="33">IF(H338=0,D338,0)</f>
        <v>0</v>
      </c>
      <c r="H338" s="546">
        <f t="shared" ref="H338:H346" si="34">D338*0.5</f>
        <v>0</v>
      </c>
      <c r="I338" s="553"/>
      <c r="J338" s="617" t="str">
        <f>'Wrksht. H, CWIP Desc. EKS'!F288</f>
        <v>LACYGNE #2 - G08002</v>
      </c>
    </row>
    <row r="339" spans="1:10" s="1417" customFormat="1" ht="12.75" customHeight="1">
      <c r="A339" s="619">
        <f t="shared" si="30"/>
        <v>279</v>
      </c>
      <c r="B339" s="539" t="str">
        <f>'Wrksht. H, CWIP Desc. EKS'!B289</f>
        <v>10100</v>
      </c>
      <c r="C339" s="540" t="str">
        <f>'Wrksht. H, CWIP Desc. EKS'!C289</f>
        <v>05984 10002652</v>
      </c>
      <c r="D339" s="546">
        <f>'Wrksht. I, CWIP AFUDC Cre. EKS'!I290</f>
        <v>0</v>
      </c>
      <c r="E339" s="542" t="str">
        <f>'Wrksht. H, CWIP Desc. EKS'!E289</f>
        <v>O</v>
      </c>
      <c r="F339" s="546"/>
      <c r="G339" s="546">
        <f t="shared" si="33"/>
        <v>0</v>
      </c>
      <c r="H339" s="546">
        <f t="shared" si="34"/>
        <v>0</v>
      </c>
      <c r="I339" s="544"/>
      <c r="J339" s="545" t="str">
        <f>'Wrksht. H, CWIP Desc. EKS'!F289</f>
        <v>LACYGNE COMMON - G08011</v>
      </c>
    </row>
    <row r="340" spans="1:10" s="1417" customFormat="1" ht="12.75" customHeight="1">
      <c r="A340" s="619">
        <f t="shared" si="30"/>
        <v>280</v>
      </c>
      <c r="B340" s="539" t="str">
        <f>'Wrksht. H, CWIP Desc. EKS'!B290</f>
        <v>10100</v>
      </c>
      <c r="C340" s="540" t="str">
        <f>'Wrksht. H, CWIP Desc. EKS'!C290</f>
        <v>05984 10002812</v>
      </c>
      <c r="D340" s="546">
        <f>'Wrksht. I, CWIP AFUDC Cre. EKS'!I291</f>
        <v>0</v>
      </c>
      <c r="E340" s="542" t="str">
        <f>'Wrksht. H, CWIP Desc. EKS'!E290</f>
        <v>O</v>
      </c>
      <c r="F340" s="546"/>
      <c r="G340" s="546">
        <f t="shared" si="33"/>
        <v>0</v>
      </c>
      <c r="H340" s="546">
        <f t="shared" si="34"/>
        <v>0</v>
      </c>
      <c r="I340" s="544"/>
      <c r="J340" s="545" t="str">
        <f>'Wrksht. H, CWIP Desc. EKS'!F290</f>
        <v>LACYGNE #1 - G08001</v>
      </c>
    </row>
    <row r="341" spans="1:10" s="1417" customFormat="1" ht="12.75" customHeight="1">
      <c r="A341" s="619">
        <f t="shared" si="30"/>
        <v>281</v>
      </c>
      <c r="B341" s="539" t="str">
        <f>'Wrksht. H, CWIP Desc. EKS'!B291</f>
        <v>10100</v>
      </c>
      <c r="C341" s="540" t="str">
        <f>'Wrksht. H, CWIP Desc. EKS'!C291</f>
        <v>J01412801</v>
      </c>
      <c r="D341" s="546">
        <f>'Wrksht. I, CWIP AFUDC Cre. EKS'!I292</f>
        <v>0</v>
      </c>
      <c r="E341" s="542" t="str">
        <f>'Wrksht. H, CWIP Desc. EKS'!E291</f>
        <v>O</v>
      </c>
      <c r="F341" s="546"/>
      <c r="G341" s="546">
        <f t="shared" si="33"/>
        <v>0</v>
      </c>
      <c r="H341" s="546">
        <f t="shared" si="34"/>
        <v>0</v>
      </c>
      <c r="I341" s="544"/>
      <c r="J341" s="545" t="str">
        <f>'Wrksht. H, CWIP Desc. EKS'!F291</f>
        <v>JEC #2 - G02502</v>
      </c>
    </row>
    <row r="342" spans="1:10" s="1417" customFormat="1" ht="12.75" customHeight="1">
      <c r="A342" s="619">
        <f t="shared" si="30"/>
        <v>282</v>
      </c>
      <c r="B342" s="539" t="str">
        <f>'Wrksht. H, CWIP Desc. EKS'!B292</f>
        <v>10100</v>
      </c>
      <c r="C342" s="540" t="str">
        <f>'Wrksht. H, CWIP Desc. EKS'!C292</f>
        <v>J19164801</v>
      </c>
      <c r="D342" s="546">
        <f>'Wrksht. I, CWIP AFUDC Cre. EKS'!I293</f>
        <v>0</v>
      </c>
      <c r="E342" s="542" t="str">
        <f>'Wrksht. H, CWIP Desc. EKS'!E292</f>
        <v>PC</v>
      </c>
      <c r="F342" s="546"/>
      <c r="G342" s="546">
        <f t="shared" si="33"/>
        <v>0</v>
      </c>
      <c r="H342" s="546">
        <v>0</v>
      </c>
      <c r="I342" s="544"/>
      <c r="J342" s="545" t="str">
        <f>'Wrksht. H, CWIP Desc. EKS'!F292</f>
        <v>JEC Common - G02511</v>
      </c>
    </row>
    <row r="343" spans="1:10" s="1417" customFormat="1" ht="12.75" customHeight="1">
      <c r="A343" s="619">
        <f t="shared" si="30"/>
        <v>283</v>
      </c>
      <c r="B343" s="539">
        <f>'Wrksht. H, CWIP Desc. EKS'!B293</f>
        <v>107000</v>
      </c>
      <c r="C343" s="540" t="str">
        <f>'Wrksht. H, CWIP Desc. EKS'!C293</f>
        <v>08400 015226</v>
      </c>
      <c r="D343" s="546">
        <f>'Wrksht. I, CWIP AFUDC Cre. EKS'!I294</f>
        <v>0</v>
      </c>
      <c r="E343" s="542" t="str">
        <f>'Wrksht. H, CWIP Desc. EKS'!E293</f>
        <v>O</v>
      </c>
      <c r="F343" s="546"/>
      <c r="G343" s="546">
        <f t="shared" si="33"/>
        <v>0</v>
      </c>
      <c r="H343" s="546">
        <f t="shared" si="34"/>
        <v>0</v>
      </c>
      <c r="I343" s="544"/>
      <c r="J343" s="545" t="str">
        <f>'Wrksht. H, CWIP Desc. EKS'!F293</f>
        <v>WATER JET PEENING OF REACTOR VESSEL</v>
      </c>
    </row>
    <row r="344" spans="1:10" s="1417" customFormat="1" ht="12.75" customHeight="1">
      <c r="A344" s="619">
        <f t="shared" si="30"/>
        <v>284</v>
      </c>
      <c r="B344" s="539">
        <f>'Wrksht. H, CWIP Desc. EKS'!B294</f>
        <v>107000</v>
      </c>
      <c r="C344" s="540" t="str">
        <f>'Wrksht. H, CWIP Desc. EKS'!C294</f>
        <v>08400 020021</v>
      </c>
      <c r="D344" s="546">
        <f>'Wrksht. I, CWIP AFUDC Cre. EKS'!I295</f>
        <v>0</v>
      </c>
      <c r="E344" s="542" t="str">
        <f>'Wrksht. H, CWIP Desc. EKS'!E294</f>
        <v>O</v>
      </c>
      <c r="F344" s="546"/>
      <c r="G344" s="546">
        <f t="shared" si="33"/>
        <v>0</v>
      </c>
      <c r="H344" s="546">
        <f t="shared" si="34"/>
        <v>0</v>
      </c>
      <c r="I344" s="544"/>
      <c r="J344" s="545" t="str">
        <f>'Wrksht. H, CWIP Desc. EKS'!F294</f>
        <v>ESF XNB01 TRANSFORMER REPLACEMENT</v>
      </c>
    </row>
    <row r="345" spans="1:10" s="1417" customFormat="1" ht="12.75" customHeight="1">
      <c r="A345" s="619">
        <f t="shared" si="30"/>
        <v>285</v>
      </c>
      <c r="B345" s="539">
        <f>'Wrksht. H, CWIP Desc. EKS'!B295</f>
        <v>107000</v>
      </c>
      <c r="C345" s="540" t="str">
        <f>'Wrksht. H, CWIP Desc. EKS'!C295</f>
        <v>08400 501532</v>
      </c>
      <c r="D345" s="546">
        <f>'Wrksht. I, CWIP AFUDC Cre. EKS'!I296</f>
        <v>2063203.8499999999</v>
      </c>
      <c r="E345" s="542" t="str">
        <f>'Wrksht. H, CWIP Desc. EKS'!E295</f>
        <v>O</v>
      </c>
      <c r="F345" s="546"/>
      <c r="G345" s="546">
        <f t="shared" si="33"/>
        <v>0</v>
      </c>
      <c r="H345" s="546">
        <f t="shared" si="34"/>
        <v>1031601.9249999999</v>
      </c>
      <c r="I345" s="544"/>
      <c r="J345" s="545" t="str">
        <f>'Wrksht. H, CWIP Desc. EKS'!F295</f>
        <v>Risk Informed Tech Specs (RITS) &amp; P</v>
      </c>
    </row>
    <row r="346" spans="1:10" s="1417" customFormat="1" ht="12.75" customHeight="1">
      <c r="A346" s="619">
        <f t="shared" si="30"/>
        <v>286</v>
      </c>
      <c r="B346" s="539">
        <f>'Wrksht. H, CWIP Desc. EKS'!B296</f>
        <v>107000</v>
      </c>
      <c r="C346" s="540" t="str">
        <f>'Wrksht. H, CWIP Desc. EKS'!C296</f>
        <v>08400 501555</v>
      </c>
      <c r="D346" s="546">
        <f>'Wrksht. I, CWIP AFUDC Cre. EKS'!I297</f>
        <v>0</v>
      </c>
      <c r="E346" s="542" t="str">
        <f>'Wrksht. H, CWIP Desc. EKS'!E296</f>
        <v>O</v>
      </c>
      <c r="F346" s="546"/>
      <c r="G346" s="546">
        <f t="shared" si="33"/>
        <v>0</v>
      </c>
      <c r="H346" s="546">
        <f t="shared" si="34"/>
        <v>0</v>
      </c>
      <c r="I346" s="544"/>
      <c r="J346" s="545" t="str">
        <f>'Wrksht. H, CWIP Desc. EKS'!F296</f>
        <v xml:space="preserve">ISFSI Security Mods_x000D_
</v>
      </c>
    </row>
    <row r="347" spans="1:10" s="1417" customFormat="1" ht="12.75" customHeight="1">
      <c r="A347" s="619">
        <f t="shared" si="30"/>
        <v>287</v>
      </c>
      <c r="B347" s="547">
        <f>'Wrksht. H, CWIP Desc. EKS'!B297</f>
        <v>107000</v>
      </c>
      <c r="C347" s="616" t="str">
        <f>'Wrksht. H, CWIP Desc. EKS'!C297</f>
        <v>05984 10002868</v>
      </c>
      <c r="D347" s="546">
        <f>'Wrksht. I, CWIP AFUDC Cre. EKS'!I298</f>
        <v>0</v>
      </c>
      <c r="E347" s="548" t="str">
        <f>'Wrksht. H, CWIP Desc. EKS'!E297</f>
        <v>O</v>
      </c>
      <c r="F347" s="546"/>
      <c r="G347" s="546">
        <f>IF(H347=0,D347,0)</f>
        <v>0</v>
      </c>
      <c r="H347" s="546">
        <f t="shared" ref="H347:H356" si="35">D347*0.5</f>
        <v>0</v>
      </c>
      <c r="I347" s="553"/>
      <c r="J347" s="617" t="str">
        <f>'Wrksht. H, CWIP Desc. EKS'!F297</f>
        <v>Lacygne Common - G08011</v>
      </c>
    </row>
    <row r="348" spans="1:10" s="1417" customFormat="1" ht="12.75" customHeight="1">
      <c r="A348" s="619">
        <f t="shared" si="30"/>
        <v>288</v>
      </c>
      <c r="B348" s="539">
        <f>'Wrksht. H, CWIP Desc. EKS'!B298</f>
        <v>107000</v>
      </c>
      <c r="C348" s="540" t="str">
        <f>'Wrksht. H, CWIP Desc. EKS'!C298</f>
        <v>J19154801</v>
      </c>
      <c r="D348" s="546">
        <f>'Wrksht. I, CWIP AFUDC Cre. EKS'!I299</f>
        <v>0</v>
      </c>
      <c r="E348" s="542" t="str">
        <f>'Wrksht. H, CWIP Desc. EKS'!E298</f>
        <v>O</v>
      </c>
      <c r="F348" s="546"/>
      <c r="G348" s="546">
        <f>IF(H348=0,D348,0)</f>
        <v>0</v>
      </c>
      <c r="H348" s="546">
        <f t="shared" si="35"/>
        <v>0</v>
      </c>
      <c r="I348" s="544"/>
      <c r="J348" s="545" t="str">
        <f>'Wrksht. H, CWIP Desc. EKS'!F298</f>
        <v>JEC #1 - G02501</v>
      </c>
    </row>
    <row r="349" spans="1:10" s="1417" customFormat="1" ht="12.75" customHeight="1">
      <c r="A349" s="619">
        <f t="shared" si="30"/>
        <v>289</v>
      </c>
      <c r="B349" s="539">
        <f>'Wrksht. H, CWIP Desc. EKS'!B299</f>
        <v>107000</v>
      </c>
      <c r="C349" s="540" t="str">
        <f>'Wrksht. H, CWIP Desc. EKS'!C299</f>
        <v>J19230301</v>
      </c>
      <c r="D349" s="546">
        <f>'Wrksht. I, CWIP AFUDC Cre. EKS'!I300</f>
        <v>0</v>
      </c>
      <c r="E349" s="542" t="str">
        <f>'Wrksht. H, CWIP Desc. EKS'!E299</f>
        <v>O</v>
      </c>
      <c r="F349" s="546"/>
      <c r="G349" s="546">
        <f>IF(H349=0,D349,0)</f>
        <v>0</v>
      </c>
      <c r="H349" s="546">
        <f t="shared" si="35"/>
        <v>0</v>
      </c>
      <c r="I349" s="544"/>
      <c r="J349" s="545" t="str">
        <f>'Wrksht. H, CWIP Desc. EKS'!F299</f>
        <v>JEC Common - G02511</v>
      </c>
    </row>
    <row r="350" spans="1:10" s="1417" customFormat="1" ht="12.75" customHeight="1">
      <c r="A350" s="619">
        <f t="shared" si="30"/>
        <v>290</v>
      </c>
      <c r="B350" s="539">
        <f>'Wrksht. H, CWIP Desc. EKS'!B300</f>
        <v>107000</v>
      </c>
      <c r="C350" s="540" t="str">
        <f>'Wrksht. H, CWIP Desc. EKS'!C300</f>
        <v>08400 501476</v>
      </c>
      <c r="D350" s="546">
        <f>'Wrksht. I, CWIP AFUDC Cre. EKS'!I301</f>
        <v>0</v>
      </c>
      <c r="E350" s="542" t="str">
        <f>'Wrksht. H, CWIP Desc. EKS'!E300</f>
        <v>O</v>
      </c>
      <c r="F350" s="546"/>
      <c r="G350" s="546">
        <f>IF(H350=0,D350,0)</f>
        <v>0</v>
      </c>
      <c r="H350" s="546">
        <f t="shared" si="35"/>
        <v>0</v>
      </c>
      <c r="I350" s="544"/>
      <c r="J350" s="545" t="str">
        <f>'Wrksht. H, CWIP Desc. EKS'!F300</f>
        <v>Turbine Building - WC004</v>
      </c>
    </row>
    <row r="351" spans="1:10" s="1417" customFormat="1" ht="12.75" customHeight="1">
      <c r="A351" s="619">
        <f t="shared" si="30"/>
        <v>291</v>
      </c>
      <c r="B351" s="539">
        <f>'Wrksht. H, CWIP Desc. EKS'!B301</f>
        <v>107000</v>
      </c>
      <c r="C351" s="540" t="str">
        <f>'Wrksht. H, CWIP Desc. EKS'!C301</f>
        <v>08400 501580</v>
      </c>
      <c r="D351" s="546">
        <f>'Wrksht. I, CWIP AFUDC Cre. EKS'!I302</f>
        <v>0</v>
      </c>
      <c r="E351" s="542" t="str">
        <f>'Wrksht. H, CWIP Desc. EKS'!E301</f>
        <v>O</v>
      </c>
      <c r="F351" s="546"/>
      <c r="G351" s="546">
        <f>IF(H351=0,D351,0)</f>
        <v>0</v>
      </c>
      <c r="H351" s="546">
        <f t="shared" si="35"/>
        <v>0</v>
      </c>
      <c r="I351" s="544"/>
      <c r="J351" s="545" t="str">
        <f>'Wrksht. H, CWIP Desc. EKS'!F301</f>
        <v>Wolf Creek Substation 345 KVA - WC109</v>
      </c>
    </row>
    <row r="352" spans="1:10" s="1417" customFormat="1" ht="12.75" customHeight="1">
      <c r="A352" s="619">
        <f t="shared" si="30"/>
        <v>292</v>
      </c>
      <c r="B352" s="547">
        <f>'Wrksht. H, CWIP Desc. EKS'!B302</f>
        <v>107000</v>
      </c>
      <c r="C352" s="616" t="str">
        <f>'Wrksht. H, CWIP Desc. EKS'!C302</f>
        <v>10003073</v>
      </c>
      <c r="D352" s="546">
        <f>'Wrksht. I, CWIP AFUDC Cre. EKS'!I303</f>
        <v>0</v>
      </c>
      <c r="E352" s="548" t="str">
        <f>'Wrksht. H, CWIP Desc. EKS'!E302</f>
        <v>PC</v>
      </c>
      <c r="F352" s="546"/>
      <c r="G352" s="546">
        <f t="shared" ref="G352:G358" si="36">IF(H352=0,D352,0)</f>
        <v>0</v>
      </c>
      <c r="H352" s="546">
        <v>0</v>
      </c>
      <c r="I352" s="553"/>
      <c r="J352" s="617" t="str">
        <f>'Wrksht. H, CWIP Desc. EKS'!F302</f>
        <v>LAC Landfill StrmWtr Drainage</v>
      </c>
    </row>
    <row r="353" spans="1:10" s="1417" customFormat="1" ht="12.75" customHeight="1">
      <c r="A353" s="619">
        <f t="shared" si="30"/>
        <v>293</v>
      </c>
      <c r="B353" s="539">
        <f>'Wrksht. H, CWIP Desc. EKS'!B303</f>
        <v>107000</v>
      </c>
      <c r="C353" s="540" t="str">
        <f>'Wrksht. H, CWIP Desc. EKS'!C303</f>
        <v>W000014593</v>
      </c>
      <c r="D353" s="546">
        <f>'Wrksht. I, CWIP AFUDC Cre. EKS'!I304</f>
        <v>0</v>
      </c>
      <c r="E353" s="542" t="str">
        <f>'Wrksht. H, CWIP Desc. EKS'!E303</f>
        <v>O</v>
      </c>
      <c r="F353" s="546"/>
      <c r="G353" s="546">
        <f t="shared" si="36"/>
        <v>0</v>
      </c>
      <c r="H353" s="546">
        <f t="shared" si="35"/>
        <v>0</v>
      </c>
      <c r="I353" s="544"/>
      <c r="J353" s="545" t="str">
        <f>'Wrksht. H, CWIP Desc. EKS'!F303</f>
        <v>REFUELING MACHINE UPGRADE PROJECT</v>
      </c>
    </row>
    <row r="354" spans="1:10" s="1417" customFormat="1" ht="12.75" customHeight="1">
      <c r="A354" s="619">
        <f t="shared" si="30"/>
        <v>294</v>
      </c>
      <c r="B354" s="539">
        <f>'Wrksht. H, CWIP Desc. EKS'!B304</f>
        <v>107000</v>
      </c>
      <c r="C354" s="540" t="str">
        <f>'Wrksht. H, CWIP Desc. EKS'!C304</f>
        <v>W000501639</v>
      </c>
      <c r="D354" s="546">
        <f>'Wrksht. I, CWIP AFUDC Cre. EKS'!I305</f>
        <v>2402548.35</v>
      </c>
      <c r="E354" s="542" t="str">
        <f>'Wrksht. H, CWIP Desc. EKS'!E304</f>
        <v>O</v>
      </c>
      <c r="F354" s="546"/>
      <c r="G354" s="546">
        <f t="shared" si="36"/>
        <v>0</v>
      </c>
      <c r="H354" s="546">
        <f t="shared" si="35"/>
        <v>1201274.175</v>
      </c>
      <c r="I354" s="544"/>
      <c r="J354" s="545" t="str">
        <f>'Wrksht. H, CWIP Desc. EKS'!F304</f>
        <v>7000HP RCP motor, pump and air cool</v>
      </c>
    </row>
    <row r="355" spans="1:10" s="1417" customFormat="1" ht="12.75" customHeight="1">
      <c r="A355" s="619">
        <f t="shared" si="30"/>
        <v>295</v>
      </c>
      <c r="B355" s="539">
        <f>'Wrksht. H, CWIP Desc. EKS'!B305</f>
        <v>107000</v>
      </c>
      <c r="C355" s="540" t="str">
        <f>'Wrksht. H, CWIP Desc. EKS'!C305</f>
        <v>10002598</v>
      </c>
      <c r="D355" s="546">
        <f>'Wrksht. I, CWIP AFUDC Cre. EKS'!I306</f>
        <v>0</v>
      </c>
      <c r="E355" s="542" t="str">
        <f>'Wrksht. H, CWIP Desc. EKS'!E305</f>
        <v>O</v>
      </c>
      <c r="F355" s="546"/>
      <c r="G355" s="546">
        <f t="shared" si="36"/>
        <v>0</v>
      </c>
      <c r="H355" s="546">
        <f t="shared" si="35"/>
        <v>0</v>
      </c>
      <c r="I355" s="544"/>
      <c r="J355" s="545" t="str">
        <f>'Wrksht. H, CWIP Desc. EKS'!F305</f>
        <v>LAC 1 Exciter Replacement</v>
      </c>
    </row>
    <row r="356" spans="1:10" s="1417" customFormat="1" ht="12.75" customHeight="1">
      <c r="A356" s="619">
        <f t="shared" si="30"/>
        <v>296</v>
      </c>
      <c r="B356" s="539">
        <f>'Wrksht. H, CWIP Desc. EKS'!B306</f>
        <v>107000</v>
      </c>
      <c r="C356" s="540" t="str">
        <f>'Wrksht. H, CWIP Desc. EKS'!C306</f>
        <v>10002770</v>
      </c>
      <c r="D356" s="546">
        <f>'Wrksht. I, CWIP AFUDC Cre. EKS'!I307</f>
        <v>0</v>
      </c>
      <c r="E356" s="542" t="str">
        <f>'Wrksht. H, CWIP Desc. EKS'!E306</f>
        <v>O</v>
      </c>
      <c r="F356" s="546"/>
      <c r="G356" s="546">
        <f t="shared" si="36"/>
        <v>0</v>
      </c>
      <c r="H356" s="546">
        <f t="shared" si="35"/>
        <v>0</v>
      </c>
      <c r="I356" s="544"/>
      <c r="J356" s="545" t="str">
        <f>'Wrksht. H, CWIP Desc. EKS'!F306</f>
        <v>LAC 2C Aux Boiler Replacement</v>
      </c>
    </row>
    <row r="357" spans="1:10" s="1417" customFormat="1" ht="12.75" customHeight="1">
      <c r="A357" s="619">
        <f t="shared" si="30"/>
        <v>297</v>
      </c>
      <c r="B357" s="539">
        <f>'Wrksht. H, CWIP Desc. EKS'!B307</f>
        <v>107000</v>
      </c>
      <c r="C357" s="540" t="str">
        <f>'Wrksht. H, CWIP Desc. EKS'!C307</f>
        <v>10003074</v>
      </c>
      <c r="D357" s="546">
        <f>'Wrksht. I, CWIP AFUDC Cre. EKS'!I308</f>
        <v>0</v>
      </c>
      <c r="E357" s="542" t="str">
        <f>'Wrksht. H, CWIP Desc. EKS'!E307</f>
        <v>PC</v>
      </c>
      <c r="F357" s="546"/>
      <c r="G357" s="546">
        <f t="shared" si="36"/>
        <v>0</v>
      </c>
      <c r="H357" s="546">
        <v>0</v>
      </c>
      <c r="I357" s="544"/>
      <c r="J357" s="545" t="str">
        <f>'Wrksht. H, CWIP Desc. EKS'!F307</f>
        <v>LAC Upper AQC Impndmt Strmwtr</v>
      </c>
    </row>
    <row r="358" spans="1:10" s="1417" customFormat="1" ht="12.75" customHeight="1">
      <c r="A358" s="619">
        <f t="shared" si="30"/>
        <v>298</v>
      </c>
      <c r="B358" s="539">
        <f>'Wrksht. H, CWIP Desc. EKS'!B308</f>
        <v>107000</v>
      </c>
      <c r="C358" s="540" t="str">
        <f>'Wrksht. H, CWIP Desc. EKS'!C308</f>
        <v>10100105</v>
      </c>
      <c r="D358" s="546">
        <f>'Wrksht. I, CWIP AFUDC Cre. EKS'!I309</f>
        <v>0</v>
      </c>
      <c r="E358" s="542" t="str">
        <f>'Wrksht. H, CWIP Desc. EKS'!E308</f>
        <v>PC</v>
      </c>
      <c r="F358" s="546"/>
      <c r="G358" s="546">
        <f t="shared" si="36"/>
        <v>0</v>
      </c>
      <c r="H358" s="546">
        <v>0</v>
      </c>
      <c r="I358" s="544"/>
      <c r="J358" s="545" t="str">
        <f>'Wrksht. H, CWIP Desc. EKS'!F308</f>
        <v>LAC2 FIlter Bag Replacement</v>
      </c>
    </row>
    <row r="359" spans="1:10" s="1417" customFormat="1" ht="12.75" customHeight="1">
      <c r="A359" s="619">
        <f t="shared" si="30"/>
        <v>299</v>
      </c>
      <c r="B359" s="539">
        <f>'Wrksht. H, CWIP Desc. EKS'!B309</f>
        <v>107000</v>
      </c>
      <c r="C359" s="540" t="str">
        <f>'Wrksht. H, CWIP Desc. EKS'!C309</f>
        <v>J19306101</v>
      </c>
      <c r="D359" s="546">
        <f>'Wrksht. I, CWIP AFUDC Cre. EKS'!I310</f>
        <v>0</v>
      </c>
      <c r="E359" s="542" t="str">
        <f>'Wrksht. H, CWIP Desc. EKS'!E309</f>
        <v>PC</v>
      </c>
      <c r="F359" s="546"/>
      <c r="G359" s="546">
        <f>IF(H359=0,D359,0)</f>
        <v>0</v>
      </c>
      <c r="H359" s="546">
        <v>0</v>
      </c>
      <c r="I359" s="544"/>
      <c r="J359" s="545" t="str">
        <f>'Wrksht. H, CWIP Desc. EKS'!F309</f>
        <v>JEC Bottom Ash Pond</v>
      </c>
    </row>
    <row r="360" spans="1:10" s="1417" customFormat="1" ht="12.75" customHeight="1" thickBot="1">
      <c r="A360" s="619">
        <f>A359+1</f>
        <v>300</v>
      </c>
      <c r="B360" s="539">
        <f>'Wrksht. H, CWIP Desc. EKS'!B310</f>
        <v>107000</v>
      </c>
      <c r="C360" s="540" t="str">
        <f>'Wrksht. H, CWIP Desc. EKS'!C310</f>
        <v>W000020292</v>
      </c>
      <c r="D360" s="546">
        <f>'Wrksht. I, CWIP AFUDC Cre. EKS'!I311</f>
        <v>0</v>
      </c>
      <c r="E360" s="542" t="str">
        <f>'Wrksht. H, CWIP Desc. EKS'!E310</f>
        <v>O</v>
      </c>
      <c r="F360" s="546"/>
      <c r="G360" s="546">
        <f>IF(H360=0,D360,0)</f>
        <v>0</v>
      </c>
      <c r="H360" s="546">
        <f>D360*0.5</f>
        <v>0</v>
      </c>
      <c r="I360" s="544"/>
      <c r="J360" s="545" t="str">
        <f>'Wrksht. H, CWIP Desc. EKS'!F310</f>
        <v>Substation XFMR #7 Replacement</v>
      </c>
    </row>
    <row r="361" spans="1:10" s="1417" customFormat="1" ht="20.25" customHeight="1" thickTop="1">
      <c r="A361" s="1744" t="s">
        <v>2998</v>
      </c>
      <c r="B361" s="1744"/>
      <c r="C361" s="1744"/>
      <c r="D361" s="1744"/>
      <c r="E361" s="1744"/>
      <c r="F361" s="1744"/>
      <c r="G361" s="1744"/>
      <c r="H361" s="1744"/>
      <c r="I361" s="1744"/>
      <c r="J361" s="1744"/>
    </row>
    <row r="362" spans="1:10" s="1417" customFormat="1" ht="19.5" customHeight="1">
      <c r="A362" s="1742" t="str">
        <f>A62</f>
        <v>For Contract Year Beginning June 1, 2024, Based on 2023 Data</v>
      </c>
      <c r="B362" s="1742"/>
      <c r="C362" s="1742"/>
      <c r="D362" s="1742"/>
      <c r="E362" s="1742"/>
      <c r="F362" s="1742"/>
      <c r="G362" s="1742"/>
      <c r="H362" s="1742"/>
      <c r="I362" s="1742"/>
      <c r="J362" s="1742"/>
    </row>
    <row r="363" spans="1:10" s="1417" customFormat="1" ht="12.75" customHeight="1">
      <c r="A363" s="506"/>
      <c r="B363" s="506" t="s">
        <v>476</v>
      </c>
      <c r="C363" s="484"/>
      <c r="D363" s="484"/>
      <c r="E363" s="484"/>
      <c r="F363" s="484"/>
      <c r="G363" s="484"/>
      <c r="H363" s="507"/>
      <c r="I363" s="484"/>
      <c r="J363" s="484"/>
    </row>
    <row r="364" spans="1:10" s="1417" customFormat="1" ht="12.75" customHeight="1">
      <c r="A364" s="485"/>
      <c r="B364" s="1278" t="s">
        <v>476</v>
      </c>
      <c r="C364" s="487"/>
      <c r="D364" s="763" t="s">
        <v>480</v>
      </c>
      <c r="E364" s="763" t="s">
        <v>481</v>
      </c>
      <c r="F364" s="763" t="s">
        <v>482</v>
      </c>
      <c r="G364" s="763" t="s">
        <v>483</v>
      </c>
      <c r="H364" s="763" t="s">
        <v>484</v>
      </c>
      <c r="I364" s="763" t="s">
        <v>884</v>
      </c>
      <c r="J364" s="763" t="s">
        <v>485</v>
      </c>
    </row>
    <row r="365" spans="1:10" s="1417" customFormat="1" ht="12.75" customHeight="1">
      <c r="A365" s="506"/>
      <c r="B365" s="506"/>
      <c r="C365" s="484"/>
      <c r="D365" s="764" t="s">
        <v>1545</v>
      </c>
      <c r="E365" s="765" t="s">
        <v>1578</v>
      </c>
      <c r="F365" s="766"/>
      <c r="G365" s="765">
        <v>1</v>
      </c>
      <c r="H365" s="765">
        <v>0.5</v>
      </c>
      <c r="I365" s="763" t="s">
        <v>468</v>
      </c>
      <c r="J365" s="764" t="s">
        <v>476</v>
      </c>
    </row>
    <row r="366" spans="1:10" s="1417" customFormat="1" ht="12.75" customHeight="1">
      <c r="A366" s="506"/>
      <c r="B366" s="506"/>
      <c r="C366" s="484"/>
      <c r="D366" s="764" t="s">
        <v>1568</v>
      </c>
      <c r="E366" s="763" t="s">
        <v>1583</v>
      </c>
      <c r="F366" s="763"/>
      <c r="G366" s="763" t="s">
        <v>116</v>
      </c>
      <c r="H366" s="763" t="s">
        <v>116</v>
      </c>
      <c r="I366" s="763" t="s">
        <v>1079</v>
      </c>
      <c r="J366" s="764" t="s">
        <v>15</v>
      </c>
    </row>
    <row r="367" spans="1:10" s="1417" customFormat="1" ht="12.75" customHeight="1">
      <c r="A367" s="506"/>
      <c r="B367" s="506"/>
      <c r="C367" s="484"/>
      <c r="D367" s="764" t="s">
        <v>1569</v>
      </c>
      <c r="E367" s="764" t="s">
        <v>221</v>
      </c>
      <c r="F367" s="763"/>
      <c r="G367" s="763" t="s">
        <v>1584</v>
      </c>
      <c r="H367" s="763" t="s">
        <v>1585</v>
      </c>
      <c r="I367" s="763" t="s">
        <v>299</v>
      </c>
      <c r="J367" s="764"/>
    </row>
    <row r="368" spans="1:10" s="1417" customFormat="1" ht="12.75" customHeight="1">
      <c r="A368" s="506"/>
      <c r="B368" s="506"/>
      <c r="C368" s="484"/>
      <c r="D368" s="763" t="s">
        <v>1949</v>
      </c>
      <c r="E368" s="764"/>
      <c r="F368" s="769"/>
      <c r="G368" s="511"/>
      <c r="H368" s="511"/>
      <c r="I368" s="770"/>
      <c r="J368" s="770"/>
    </row>
    <row r="369" spans="1:10" s="1417" customFormat="1" ht="12.75" customHeight="1">
      <c r="A369" s="506"/>
      <c r="B369" s="506"/>
      <c r="C369" s="484"/>
      <c r="D369" s="496"/>
      <c r="E369" s="496"/>
      <c r="F369" s="498"/>
      <c r="G369" s="767"/>
      <c r="H369" s="767"/>
      <c r="I369" s="486"/>
      <c r="J369" s="486"/>
    </row>
    <row r="370" spans="1:10" s="1417" customFormat="1" ht="12.75" customHeight="1" thickBot="1">
      <c r="A370" s="499" t="s">
        <v>531</v>
      </c>
      <c r="B370" s="500" t="s">
        <v>1078</v>
      </c>
      <c r="C370" s="501" t="s">
        <v>1077</v>
      </c>
      <c r="D370" s="750"/>
      <c r="E370" s="892"/>
      <c r="F370" s="750"/>
      <c r="G370" s="750"/>
      <c r="H370" s="750"/>
      <c r="I370" s="528"/>
      <c r="J370" s="752"/>
    </row>
    <row r="371" spans="1:10" s="1417" customFormat="1" ht="12.75" customHeight="1" thickTop="1">
      <c r="A371" s="1271">
        <f>A360+1</f>
        <v>301</v>
      </c>
      <c r="B371" s="1272">
        <f>'Wrksht. H, CWIP Desc. EKS'!B311</f>
        <v>107000</v>
      </c>
      <c r="C371" s="1273">
        <f>'Wrksht. H, CWIP Desc. EKS'!C311</f>
        <v>10003070</v>
      </c>
      <c r="D371" s="1274">
        <f>'Wrksht. I, CWIP AFUDC Cre. EKS'!I312</f>
        <v>0</v>
      </c>
      <c r="E371" s="1275" t="str">
        <f>'Wrksht. H, CWIP Desc. EKS'!E311</f>
        <v>PC</v>
      </c>
      <c r="F371" s="1274"/>
      <c r="G371" s="1274">
        <f t="shared" ref="G371:G380" si="37">IF(H371=0,D371,0)</f>
        <v>0</v>
      </c>
      <c r="H371" s="1274">
        <v>0</v>
      </c>
      <c r="I371" s="1276"/>
      <c r="J371" s="1277" t="str">
        <f>'Wrksht. H, CWIP Desc. EKS'!F311</f>
        <v>ARO Upper AQC Impoundmt Closure</v>
      </c>
    </row>
    <row r="372" spans="1:10" s="1417" customFormat="1" ht="12.75" customHeight="1">
      <c r="A372" s="619">
        <f t="shared" ref="A372:A405" si="38">A371+1</f>
        <v>302</v>
      </c>
      <c r="B372" s="539">
        <f>'Wrksht. H, CWIP Desc. EKS'!B312</f>
        <v>107000</v>
      </c>
      <c r="C372" s="540">
        <f>'Wrksht. H, CWIP Desc. EKS'!C312</f>
        <v>10100131</v>
      </c>
      <c r="D372" s="546">
        <f>'Wrksht. I, CWIP AFUDC Cre. EKS'!I313</f>
        <v>0</v>
      </c>
      <c r="E372" s="542" t="str">
        <f>'Wrksht. H, CWIP Desc. EKS'!E312</f>
        <v>O</v>
      </c>
      <c r="F372" s="546"/>
      <c r="G372" s="546">
        <f t="shared" si="37"/>
        <v>0</v>
      </c>
      <c r="H372" s="546">
        <f t="shared" ref="H372:H380" si="39">D372*0.5</f>
        <v>0</v>
      </c>
      <c r="I372" s="544"/>
      <c r="J372" s="545" t="str">
        <f>'Wrksht. H, CWIP Desc. EKS'!F312</f>
        <v>LAC0 Fleetwide Remote Monitoring</v>
      </c>
    </row>
    <row r="373" spans="1:10" s="1417" customFormat="1" ht="12.75" customHeight="1">
      <c r="A373" s="619">
        <f t="shared" si="38"/>
        <v>303</v>
      </c>
      <c r="B373" s="539">
        <f>'Wrksht. H, CWIP Desc. EKS'!B313</f>
        <v>107000</v>
      </c>
      <c r="C373" s="540">
        <f>'Wrksht. H, CWIP Desc. EKS'!C313</f>
        <v>10100154</v>
      </c>
      <c r="D373" s="546">
        <f>'Wrksht. I, CWIP AFUDC Cre. EKS'!I314</f>
        <v>0</v>
      </c>
      <c r="E373" s="542" t="str">
        <f>'Wrksht. H, CWIP Desc. EKS'!E313</f>
        <v>O</v>
      </c>
      <c r="F373" s="546"/>
      <c r="G373" s="546">
        <f t="shared" si="37"/>
        <v>0</v>
      </c>
      <c r="H373" s="546">
        <f t="shared" si="39"/>
        <v>0</v>
      </c>
      <c r="I373" s="544"/>
      <c r="J373" s="545" t="str">
        <f>'Wrksht. H, CWIP Desc. EKS'!F313</f>
        <v xml:space="preserve">LAC1 Emergency Capital Work Order 2020 </v>
      </c>
    </row>
    <row r="374" spans="1:10" s="1417" customFormat="1" ht="12.75" customHeight="1">
      <c r="A374" s="619">
        <f t="shared" si="38"/>
        <v>304</v>
      </c>
      <c r="B374" s="539">
        <f>'Wrksht. H, CWIP Desc. EKS'!B314</f>
        <v>107000</v>
      </c>
      <c r="C374" s="540">
        <f>'Wrksht. H, CWIP Desc. EKS'!C314</f>
        <v>10100194</v>
      </c>
      <c r="D374" s="546">
        <f>'Wrksht. I, CWIP AFUDC Cre. EKS'!I315</f>
        <v>0</v>
      </c>
      <c r="E374" s="542" t="str">
        <f>'Wrksht. H, CWIP Desc. EKS'!E314</f>
        <v>O</v>
      </c>
      <c r="F374" s="546"/>
      <c r="G374" s="546">
        <f t="shared" si="37"/>
        <v>0</v>
      </c>
      <c r="H374" s="546">
        <f t="shared" si="39"/>
        <v>0</v>
      </c>
      <c r="I374" s="544"/>
      <c r="J374" s="545" t="str">
        <f>'Wrksht. H, CWIP Desc. EKS'!F314</f>
        <v>LAC1 Cold Reheat Piping Replacement</v>
      </c>
    </row>
    <row r="375" spans="1:10" s="1417" customFormat="1" ht="12.75" customHeight="1">
      <c r="A375" s="619">
        <f t="shared" si="38"/>
        <v>305</v>
      </c>
      <c r="B375" s="539">
        <f>'Wrksht. H, CWIP Desc. EKS'!B315</f>
        <v>107000</v>
      </c>
      <c r="C375" s="540">
        <f>'Wrksht. H, CWIP Desc. EKS'!C315</f>
        <v>10100199</v>
      </c>
      <c r="D375" s="546">
        <f>'Wrksht. I, CWIP AFUDC Cre. EKS'!I316</f>
        <v>0</v>
      </c>
      <c r="E375" s="542" t="str">
        <f>'Wrksht. H, CWIP Desc. EKS'!E315</f>
        <v>O</v>
      </c>
      <c r="F375" s="546"/>
      <c r="G375" s="546">
        <f t="shared" si="37"/>
        <v>0</v>
      </c>
      <c r="H375" s="546">
        <f t="shared" si="39"/>
        <v>0</v>
      </c>
      <c r="I375" s="544"/>
      <c r="J375" s="545" t="str">
        <f>'Wrksht. H, CWIP Desc. EKS'!F315</f>
        <v>LAC1 Air Heater Basket Replacement</v>
      </c>
    </row>
    <row r="376" spans="1:10" s="1417" customFormat="1" ht="12.75" customHeight="1">
      <c r="A376" s="619">
        <f t="shared" si="38"/>
        <v>306</v>
      </c>
      <c r="B376" s="539">
        <f>'Wrksht. H, CWIP Desc. EKS'!B316</f>
        <v>107000</v>
      </c>
      <c r="C376" s="540">
        <f>'Wrksht. H, CWIP Desc. EKS'!C316</f>
        <v>10100238</v>
      </c>
      <c r="D376" s="546">
        <f>'Wrksht. I, CWIP AFUDC Cre. EKS'!I317</f>
        <v>0</v>
      </c>
      <c r="E376" s="542" t="str">
        <f>'Wrksht. H, CWIP Desc. EKS'!E316</f>
        <v>O</v>
      </c>
      <c r="F376" s="546"/>
      <c r="G376" s="546">
        <f t="shared" si="37"/>
        <v>0</v>
      </c>
      <c r="H376" s="546">
        <f t="shared" si="39"/>
        <v>0</v>
      </c>
      <c r="I376" s="544"/>
      <c r="J376" s="545" t="str">
        <f>'Wrksht. H, CWIP Desc. EKS'!F316</f>
        <v>LACO CMF Equipment Relocation</v>
      </c>
    </row>
    <row r="377" spans="1:10" s="1417" customFormat="1" ht="12.75" customHeight="1">
      <c r="A377" s="619">
        <f t="shared" si="38"/>
        <v>307</v>
      </c>
      <c r="B377" s="539">
        <f>'Wrksht. H, CWIP Desc. EKS'!B317</f>
        <v>107000</v>
      </c>
      <c r="C377" s="540">
        <f>'Wrksht. H, CWIP Desc. EKS'!C317</f>
        <v>10100300</v>
      </c>
      <c r="D377" s="546">
        <f>'Wrksht. I, CWIP AFUDC Cre. EKS'!I318</f>
        <v>0</v>
      </c>
      <c r="E377" s="542" t="str">
        <f>'Wrksht. H, CWIP Desc. EKS'!E317</f>
        <v>PC</v>
      </c>
      <c r="F377" s="546"/>
      <c r="G377" s="546">
        <f t="shared" si="37"/>
        <v>0</v>
      </c>
      <c r="H377" s="546">
        <v>0</v>
      </c>
      <c r="I377" s="544"/>
      <c r="J377" s="545" t="str">
        <f>'Wrksht. H, CWIP Desc. EKS'!F317</f>
        <v>LAC1 Baghouse B Compartment Replace</v>
      </c>
    </row>
    <row r="378" spans="1:10" s="1417" customFormat="1" ht="12.75" customHeight="1">
      <c r="A378" s="619">
        <f t="shared" si="38"/>
        <v>308</v>
      </c>
      <c r="B378" s="539">
        <f>'Wrksht. H, CWIP Desc. EKS'!B318</f>
        <v>107000</v>
      </c>
      <c r="C378" s="540" t="str">
        <f>'Wrksht. H, CWIP Desc. EKS'!C318</f>
        <v>J192599011</v>
      </c>
      <c r="D378" s="546">
        <f>'Wrksht. I, CWIP AFUDC Cre. EKS'!I319</f>
        <v>1312742.57</v>
      </c>
      <c r="E378" s="542" t="str">
        <f>'Wrksht. H, CWIP Desc. EKS'!E318</f>
        <v>O</v>
      </c>
      <c r="F378" s="546"/>
      <c r="G378" s="546">
        <f t="shared" si="37"/>
        <v>0</v>
      </c>
      <c r="H378" s="546">
        <f t="shared" si="39"/>
        <v>656371.28500000003</v>
      </c>
      <c r="I378" s="544"/>
      <c r="J378" s="545" t="str">
        <f>'Wrksht. H, CWIP Desc. EKS'!F318</f>
        <v>J3 HP IP Inner Cylinder Replacement</v>
      </c>
    </row>
    <row r="379" spans="1:10" s="1417" customFormat="1" ht="12.75" customHeight="1">
      <c r="A379" s="619">
        <f t="shared" si="38"/>
        <v>309</v>
      </c>
      <c r="B379" s="539">
        <f>'Wrksht. H, CWIP Desc. EKS'!B319</f>
        <v>107000</v>
      </c>
      <c r="C379" s="540" t="str">
        <f>'Wrksht. H, CWIP Desc. EKS'!C319</f>
        <v>W000501767</v>
      </c>
      <c r="D379" s="546">
        <f>'Wrksht. I, CWIP AFUDC Cre. EKS'!I320</f>
        <v>0</v>
      </c>
      <c r="E379" s="542" t="str">
        <f>'Wrksht. H, CWIP Desc. EKS'!E319</f>
        <v>O</v>
      </c>
      <c r="F379" s="546"/>
      <c r="G379" s="546">
        <f t="shared" si="37"/>
        <v>0</v>
      </c>
      <c r="H379" s="546">
        <f t="shared" si="39"/>
        <v>0</v>
      </c>
      <c r="I379" s="544"/>
      <c r="J379" s="545" t="str">
        <f>'Wrksht. H, CWIP Desc. EKS'!F319</f>
        <v xml:space="preserve">GEAM - Document Mangement (DOC) </v>
      </c>
    </row>
    <row r="380" spans="1:10" s="1417" customFormat="1" ht="12.75" customHeight="1">
      <c r="A380" s="619">
        <f t="shared" si="38"/>
        <v>310</v>
      </c>
      <c r="B380" s="539">
        <f>'Wrksht. H, CWIP Desc. EKS'!B320</f>
        <v>107000</v>
      </c>
      <c r="C380" s="540" t="str">
        <f>'Wrksht. H, CWIP Desc. EKS'!C320</f>
        <v>W000501807</v>
      </c>
      <c r="D380" s="546">
        <f>'Wrksht. I, CWIP AFUDC Cre. EKS'!I321</f>
        <v>2141930.8199999998</v>
      </c>
      <c r="E380" s="542" t="str">
        <f>'Wrksht. H, CWIP Desc. EKS'!E320</f>
        <v>O</v>
      </c>
      <c r="F380" s="546"/>
      <c r="G380" s="546">
        <f t="shared" si="37"/>
        <v>0</v>
      </c>
      <c r="H380" s="546">
        <f t="shared" si="39"/>
        <v>1070965.4099999999</v>
      </c>
      <c r="I380" s="544"/>
      <c r="J380" s="545" t="str">
        <f>'Wrksht. H, CWIP Desc. EKS'!F320</f>
        <v>Security Phase 2 Modifications.</v>
      </c>
    </row>
    <row r="381" spans="1:10" s="1417" customFormat="1" ht="12.75" customHeight="1">
      <c r="A381" s="619">
        <f>A380+1</f>
        <v>311</v>
      </c>
      <c r="B381" s="539" t="str">
        <f>'Wrksht. H, CWIP Desc. EKS'!B321</f>
        <v>107000</v>
      </c>
      <c r="C381" s="540" t="str">
        <f>'Wrksht. H, CWIP Desc. EKS'!C321</f>
        <v>10100420</v>
      </c>
      <c r="D381" s="546">
        <f>'Wrksht. I, CWIP AFUDC Cre. EKS'!I322</f>
        <v>0</v>
      </c>
      <c r="E381" s="542" t="str">
        <f>'Wrksht. H, CWIP Desc. EKS'!E321</f>
        <v>O</v>
      </c>
      <c r="F381" s="546"/>
      <c r="G381" s="546">
        <f t="shared" ref="G381:G387" si="40">IF(H381=0,D381,0)</f>
        <v>0</v>
      </c>
      <c r="H381" s="546">
        <f t="shared" ref="H381:H387" si="41">D381*0.5</f>
        <v>0</v>
      </c>
      <c r="I381" s="544"/>
      <c r="J381" s="545" t="str">
        <f>'Wrksht. H, CWIP Desc. EKS'!F321</f>
        <v>LAC1 DCS Evergreen Update</v>
      </c>
    </row>
    <row r="382" spans="1:10" s="1417" customFormat="1" ht="12.75" customHeight="1">
      <c r="A382" s="619">
        <f t="shared" si="38"/>
        <v>312</v>
      </c>
      <c r="B382" s="539" t="str">
        <f>'Wrksht. H, CWIP Desc. EKS'!B322</f>
        <v>107000</v>
      </c>
      <c r="C382" s="540">
        <f>'Wrksht. H, CWIP Desc. EKS'!C322</f>
        <v>10100724</v>
      </c>
      <c r="D382" s="546">
        <f>'Wrksht. I, CWIP AFUDC Cre. EKS'!I323</f>
        <v>0</v>
      </c>
      <c r="E382" s="542" t="str">
        <f>'Wrksht. H, CWIP Desc. EKS'!E322</f>
        <v>O</v>
      </c>
      <c r="F382" s="546"/>
      <c r="G382" s="546">
        <f t="shared" si="40"/>
        <v>0</v>
      </c>
      <c r="H382" s="546">
        <f t="shared" si="41"/>
        <v>0</v>
      </c>
      <c r="I382" s="544"/>
      <c r="J382" s="545" t="str">
        <f>'Wrksht. H, CWIP Desc. EKS'!F322</f>
        <v>LAC1 Generator Bushing Repl</v>
      </c>
    </row>
    <row r="383" spans="1:10" s="1417" customFormat="1" ht="12.75" customHeight="1">
      <c r="A383" s="619">
        <f t="shared" si="38"/>
        <v>313</v>
      </c>
      <c r="B383" s="539" t="str">
        <f>'Wrksht. H, CWIP Desc. EKS'!B323</f>
        <v>107000</v>
      </c>
      <c r="C383" s="540" t="str">
        <f>'Wrksht. H, CWIP Desc. EKS'!C323</f>
        <v>J19259701</v>
      </c>
      <c r="D383" s="546">
        <f>'Wrksht. I, CWIP AFUDC Cre. EKS'!I324</f>
        <v>0</v>
      </c>
      <c r="E383" s="542" t="str">
        <f>'Wrksht. H, CWIP Desc. EKS'!E323</f>
        <v>O</v>
      </c>
      <c r="F383" s="546"/>
      <c r="G383" s="546">
        <f t="shared" si="40"/>
        <v>0</v>
      </c>
      <c r="H383" s="546">
        <f t="shared" si="41"/>
        <v>0</v>
      </c>
      <c r="I383" s="544"/>
      <c r="J383" s="545" t="str">
        <f>'Wrksht. H, CWIP Desc. EKS'!F323</f>
        <v>J3 Controls Upgrade</v>
      </c>
    </row>
    <row r="384" spans="1:10" s="1417" customFormat="1" ht="12.75" customHeight="1">
      <c r="A384" s="619">
        <f t="shared" si="38"/>
        <v>314</v>
      </c>
      <c r="B384" s="539" t="str">
        <f>'Wrksht. H, CWIP Desc. EKS'!B324</f>
        <v>107000</v>
      </c>
      <c r="C384" s="540" t="str">
        <f>'Wrksht. H, CWIP Desc. EKS'!C324</f>
        <v>J19442701</v>
      </c>
      <c r="D384" s="546">
        <f>'Wrksht. I, CWIP AFUDC Cre. EKS'!I325</f>
        <v>2111309.0499999998</v>
      </c>
      <c r="E384" s="542" t="str">
        <f>'Wrksht. H, CWIP Desc. EKS'!E324</f>
        <v>PC</v>
      </c>
      <c r="F384" s="546"/>
      <c r="G384" s="546">
        <f t="shared" si="40"/>
        <v>2111309.0499999998</v>
      </c>
      <c r="H384" s="546">
        <v>0</v>
      </c>
      <c r="I384" s="544"/>
      <c r="J384" s="545" t="str">
        <f>'Wrksht. H, CWIP Desc. EKS'!F324</f>
        <v>J0 ELG Compliance (Effluent Limitation Guidelines)</v>
      </c>
    </row>
    <row r="385" spans="1:10" s="1417" customFormat="1" ht="12.75" customHeight="1">
      <c r="A385" s="619">
        <f t="shared" si="38"/>
        <v>315</v>
      </c>
      <c r="B385" s="539" t="str">
        <f>'Wrksht. H, CWIP Desc. EKS'!B325</f>
        <v>107000</v>
      </c>
      <c r="C385" s="540" t="str">
        <f>'Wrksht. H, CWIP Desc. EKS'!C325</f>
        <v>JRJ0017501</v>
      </c>
      <c r="D385" s="546">
        <f>'Wrksht. I, CWIP AFUDC Cre. EKS'!I326</f>
        <v>25429447.149999999</v>
      </c>
      <c r="E385" s="542" t="str">
        <f>'Wrksht. H, CWIP Desc. EKS'!E325</f>
        <v>O</v>
      </c>
      <c r="F385" s="546"/>
      <c r="G385" s="546">
        <f t="shared" si="40"/>
        <v>0</v>
      </c>
      <c r="H385" s="546">
        <f t="shared" si="41"/>
        <v>12714723.574999999</v>
      </c>
      <c r="I385" s="544"/>
      <c r="J385" s="545" t="str">
        <f>'Wrksht. H, CWIP Desc. EKS'!F325</f>
        <v>J3 Turbine Major Rebuild 2022</v>
      </c>
    </row>
    <row r="386" spans="1:10" s="1417" customFormat="1" ht="12.75" customHeight="1">
      <c r="A386" s="619">
        <f t="shared" si="38"/>
        <v>316</v>
      </c>
      <c r="B386" s="539" t="str">
        <f>'Wrksht. H, CWIP Desc. EKS'!B326</f>
        <v>107000</v>
      </c>
      <c r="C386" s="540" t="str">
        <f>'Wrksht. H, CWIP Desc. EKS'!C326</f>
        <v>W000015000</v>
      </c>
      <c r="D386" s="546">
        <f>'Wrksht. I, CWIP AFUDC Cre. EKS'!I327</f>
        <v>3671815.68</v>
      </c>
      <c r="E386" s="542" t="str">
        <f>'Wrksht. H, CWIP Desc. EKS'!E326</f>
        <v>O</v>
      </c>
      <c r="F386" s="546"/>
      <c r="G386" s="546">
        <f t="shared" si="40"/>
        <v>0</v>
      </c>
      <c r="H386" s="546">
        <f t="shared" si="41"/>
        <v>1835907.84</v>
      </c>
      <c r="I386" s="544"/>
      <c r="J386" s="545" t="str">
        <f>'Wrksht. H, CWIP Desc. EKS'!F326</f>
        <v>RF22 SU TRANSFORMER COMPONENT REPLA</v>
      </c>
    </row>
    <row r="387" spans="1:10" s="1417" customFormat="1" ht="12.75" customHeight="1">
      <c r="A387" s="619">
        <f>A386+1</f>
        <v>317</v>
      </c>
      <c r="B387" s="539" t="str">
        <f>'Wrksht. H, CWIP Desc. EKS'!B327</f>
        <v>107000</v>
      </c>
      <c r="C387" s="540" t="str">
        <f>'Wrksht. H, CWIP Desc. EKS'!C327</f>
        <v>W000020548</v>
      </c>
      <c r="D387" s="546">
        <f>'Wrksht. I, CWIP AFUDC Cre. EKS'!I328</f>
        <v>1350746.51</v>
      </c>
      <c r="E387" s="542" t="str">
        <f>'Wrksht. H, CWIP Desc. EKS'!E327</f>
        <v>O</v>
      </c>
      <c r="F387" s="546"/>
      <c r="G387" s="546">
        <f t="shared" si="40"/>
        <v>0</v>
      </c>
      <c r="H387" s="546">
        <f t="shared" si="41"/>
        <v>675373.255</v>
      </c>
      <c r="I387" s="544"/>
      <c r="J387" s="545" t="str">
        <f>'Wrksht. H, CWIP Desc. EKS'!F327</f>
        <v>SECURITY PHASE II SYSTEM---CQ DIS</v>
      </c>
    </row>
    <row r="388" spans="1:10" s="1417" customFormat="1" ht="12.75" customHeight="1">
      <c r="A388" s="619">
        <f>A387+1</f>
        <v>318</v>
      </c>
      <c r="B388" s="539" t="str">
        <f>'Wrksht. H, CWIP Desc. EKS'!B328</f>
        <v>107000</v>
      </c>
      <c r="C388" s="540" t="str">
        <f>'Wrksht. H, CWIP Desc. EKS'!C328</f>
        <v>W000501545</v>
      </c>
      <c r="D388" s="546">
        <f>'Wrksht. I, CWIP AFUDC Cre. EKS'!I329</f>
        <v>-26623.800000000003</v>
      </c>
      <c r="E388" s="542" t="str">
        <f>'Wrksht. H, CWIP Desc. EKS'!E328</f>
        <v>O</v>
      </c>
      <c r="F388" s="546"/>
      <c r="G388" s="546">
        <f t="shared" ref="G388:G389" si="42">IF(H388=0,D388,0)</f>
        <v>0</v>
      </c>
      <c r="H388" s="546">
        <f t="shared" ref="H388:H389" si="43">D388*0.5</f>
        <v>-13311.900000000001</v>
      </c>
      <c r="I388" s="544"/>
      <c r="J388" s="545" t="str">
        <f>'Wrksht. H, CWIP Desc. EKS'!F328</f>
        <v>Transformer Replacement Plan - Budg</v>
      </c>
    </row>
    <row r="389" spans="1:10" s="1417" customFormat="1" ht="12.75" customHeight="1">
      <c r="A389" s="619">
        <f t="shared" si="38"/>
        <v>319</v>
      </c>
      <c r="B389" s="539" t="str">
        <f>'Wrksht. H, CWIP Desc. EKS'!B329</f>
        <v>107000</v>
      </c>
      <c r="C389" s="540" t="str">
        <f>'Wrksht. H, CWIP Desc. EKS'!C329</f>
        <v>W000501809</v>
      </c>
      <c r="D389" s="546">
        <f>'Wrksht. I, CWIP AFUDC Cre. EKS'!I330</f>
        <v>0</v>
      </c>
      <c r="E389" s="542" t="str">
        <f>'Wrksht. H, CWIP Desc. EKS'!E329</f>
        <v>O</v>
      </c>
      <c r="F389" s="546"/>
      <c r="G389" s="546">
        <f t="shared" si="42"/>
        <v>0</v>
      </c>
      <c r="H389" s="546">
        <f t="shared" si="43"/>
        <v>0</v>
      </c>
      <c r="I389" s="544"/>
      <c r="J389" s="545" t="str">
        <f>'Wrksht. H, CWIP Desc. EKS'!F329</f>
        <v>RCP Catridge Seal Assembly Replacem</v>
      </c>
    </row>
    <row r="390" spans="1:10" s="1417" customFormat="1" ht="12.75" customHeight="1">
      <c r="A390" s="619">
        <f t="shared" si="38"/>
        <v>320</v>
      </c>
      <c r="B390" s="539" t="str">
        <f>'Wrksht. H, CWIP Desc. EKS'!B330</f>
        <v>107000</v>
      </c>
      <c r="C390" s="540" t="str">
        <f>'Wrksht. H, CWIP Desc. EKS'!C330</f>
        <v>W000501973</v>
      </c>
      <c r="D390" s="546">
        <f>'Wrksht. I, CWIP AFUDC Cre. EKS'!I331</f>
        <v>0</v>
      </c>
      <c r="E390" s="542" t="str">
        <f>'Wrksht. H, CWIP Desc. EKS'!E330</f>
        <v>O</v>
      </c>
      <c r="F390" s="546"/>
      <c r="G390" s="546">
        <f t="shared" ref="G390:G391" si="44">IF(H390=0,D390,0)</f>
        <v>0</v>
      </c>
      <c r="H390" s="546">
        <f t="shared" ref="H390:H391" si="45">D390*0.5</f>
        <v>0</v>
      </c>
      <c r="I390" s="544"/>
      <c r="J390" s="545" t="str">
        <f>'Wrksht. H, CWIP Desc. EKS'!F330</f>
        <v>Cleaning, refurbishment and reassem</v>
      </c>
    </row>
    <row r="391" spans="1:10" s="1417" customFormat="1" ht="12.75" customHeight="1" thickBot="1">
      <c r="A391" s="619">
        <f t="shared" si="38"/>
        <v>321</v>
      </c>
      <c r="B391" s="1575" t="str">
        <f>'Wrksht. H, CWIP Desc. EKS'!B331</f>
        <v>107000</v>
      </c>
      <c r="C391" s="1574" t="str">
        <f>'Wrksht. H, CWIP Desc. EKS'!C331</f>
        <v>W000501974</v>
      </c>
      <c r="D391" s="1570">
        <f>'Wrksht. I, CWIP AFUDC Cre. EKS'!I332</f>
        <v>0</v>
      </c>
      <c r="E391" s="1569" t="str">
        <f>'Wrksht. H, CWIP Desc. EKS'!E331</f>
        <v>O</v>
      </c>
      <c r="F391" s="1570"/>
      <c r="G391" s="1570">
        <f t="shared" si="44"/>
        <v>0</v>
      </c>
      <c r="H391" s="546">
        <f t="shared" si="45"/>
        <v>0</v>
      </c>
      <c r="I391" s="1572"/>
      <c r="J391" s="1573" t="str">
        <f>'Wrksht. H, CWIP Desc. EKS'!F331</f>
        <v>RF25 Refurbishment of 4 Main Feedwa</v>
      </c>
    </row>
    <row r="392" spans="1:10" s="1417" customFormat="1" ht="12.75" customHeight="1" thickTop="1">
      <c r="A392" s="619">
        <f t="shared" si="38"/>
        <v>322</v>
      </c>
      <c r="B392" s="539" t="str">
        <f>'Wrksht. H, CWIP Desc. EKS'!B332</f>
        <v>107000</v>
      </c>
      <c r="C392" s="540" t="str">
        <f>'Wrksht. H, CWIP Desc. EKS'!C332</f>
        <v>10100540</v>
      </c>
      <c r="D392" s="546">
        <f>'Wrksht. I, CWIP AFUDC Cre. EKS'!I333</f>
        <v>1070822.8700000001</v>
      </c>
      <c r="E392" s="1400" t="str">
        <f>'Wrksht. H, CWIP Desc. EKS'!E332</f>
        <v>O</v>
      </c>
      <c r="F392" s="546"/>
      <c r="G392" s="546">
        <f t="shared" ref="G392:G404" si="46">IF(H392=0,D392,0)</f>
        <v>0</v>
      </c>
      <c r="H392" s="1571">
        <f t="shared" ref="H392:H404" si="47">D392*0.5</f>
        <v>535411.43500000006</v>
      </c>
      <c r="I392" s="544"/>
      <c r="J392" s="545" t="str">
        <f>'Wrksht. H, CWIP Desc. EKS'!F332</f>
        <v>LACO Conveyor Load Zones Replace</v>
      </c>
    </row>
    <row r="393" spans="1:10" s="1417" customFormat="1" ht="12.75" customHeight="1">
      <c r="A393" s="619">
        <f t="shared" si="38"/>
        <v>323</v>
      </c>
      <c r="B393" s="539" t="str">
        <f>'Wrksht. H, CWIP Desc. EKS'!B333</f>
        <v>107000</v>
      </c>
      <c r="C393" s="540" t="str">
        <f>'Wrksht. H, CWIP Desc. EKS'!C333</f>
        <v>10100705</v>
      </c>
      <c r="D393" s="546">
        <f>'Wrksht. I, CWIP AFUDC Cre. EKS'!I334</f>
        <v>4709415.3</v>
      </c>
      <c r="E393" s="1400" t="str">
        <f>'Wrksht. H, CWIP Desc. EKS'!E333</f>
        <v>O</v>
      </c>
      <c r="F393" s="546"/>
      <c r="G393" s="546">
        <f t="shared" si="46"/>
        <v>0</v>
      </c>
      <c r="H393" s="546">
        <f t="shared" si="47"/>
        <v>2354707.65</v>
      </c>
      <c r="I393" s="544"/>
      <c r="J393" s="545" t="str">
        <f>'Wrksht. H, CWIP Desc. EKS'!F333</f>
        <v>LAC2 L-0 LP Turb Blade Replacement</v>
      </c>
    </row>
    <row r="394" spans="1:10" s="1417" customFormat="1" ht="12.75" customHeight="1">
      <c r="A394" s="619">
        <f t="shared" si="38"/>
        <v>324</v>
      </c>
      <c r="B394" s="539" t="str">
        <f>'Wrksht. H, CWIP Desc. EKS'!B334</f>
        <v>107000</v>
      </c>
      <c r="C394" s="540" t="str">
        <f>'Wrksht. H, CWIP Desc. EKS'!C334</f>
        <v>10100773</v>
      </c>
      <c r="D394" s="546">
        <f>'Wrksht. I, CWIP AFUDC Cre. EKS'!I335</f>
        <v>1526765.56</v>
      </c>
      <c r="E394" s="1400" t="str">
        <f>'Wrksht. H, CWIP Desc. EKS'!E334</f>
        <v>PC</v>
      </c>
      <c r="F394" s="546"/>
      <c r="G394" s="546">
        <f t="shared" si="46"/>
        <v>1526765.56</v>
      </c>
      <c r="H394" s="546">
        <v>0</v>
      </c>
      <c r="I394" s="544"/>
      <c r="J394" s="545" t="str">
        <f>'Wrksht. H, CWIP Desc. EKS'!F334</f>
        <v>LAC2 Mist Eliminator Trays Repl 202</v>
      </c>
    </row>
    <row r="395" spans="1:10" s="1417" customFormat="1" ht="12.75" customHeight="1">
      <c r="A395" s="619">
        <f t="shared" si="38"/>
        <v>325</v>
      </c>
      <c r="B395" s="539" t="str">
        <f>'Wrksht. H, CWIP Desc. EKS'!B335</f>
        <v>107000</v>
      </c>
      <c r="C395" s="540" t="str">
        <f>'Wrksht. H, CWIP Desc. EKS'!C335</f>
        <v>10100863</v>
      </c>
      <c r="D395" s="546">
        <f>'Wrksht. I, CWIP AFUDC Cre. EKS'!I336</f>
        <v>1050649.1100000001</v>
      </c>
      <c r="E395" s="1400" t="str">
        <f>'Wrksht. H, CWIP Desc. EKS'!E335</f>
        <v>O</v>
      </c>
      <c r="F395" s="546"/>
      <c r="G395" s="546">
        <f t="shared" si="46"/>
        <v>0</v>
      </c>
      <c r="H395" s="546">
        <f t="shared" si="47"/>
        <v>525324.55500000005</v>
      </c>
      <c r="I395" s="544"/>
      <c r="J395" s="545" t="str">
        <f>'Wrksht. H, CWIP Desc. EKS'!F335</f>
        <v>LAC1 Boiler Floor Replacement 2023</v>
      </c>
    </row>
    <row r="396" spans="1:10" s="1417" customFormat="1" ht="12.75" customHeight="1">
      <c r="A396" s="619">
        <f t="shared" si="38"/>
        <v>326</v>
      </c>
      <c r="B396" s="539" t="str">
        <f>'Wrksht. H, CWIP Desc. EKS'!B336</f>
        <v>107000</v>
      </c>
      <c r="C396" s="540" t="str">
        <f>'Wrksht. H, CWIP Desc. EKS'!C336</f>
        <v>J19396201</v>
      </c>
      <c r="D396" s="546">
        <f>'Wrksht. I, CWIP AFUDC Cre. EKS'!I337</f>
        <v>1012801.14</v>
      </c>
      <c r="E396" s="1400" t="str">
        <f>'Wrksht. H, CWIP Desc. EKS'!E336</f>
        <v>O</v>
      </c>
      <c r="F396" s="546"/>
      <c r="G396" s="546">
        <f t="shared" si="46"/>
        <v>0</v>
      </c>
      <c r="H396" s="546">
        <f t="shared" si="47"/>
        <v>506400.57</v>
      </c>
      <c r="I396" s="544"/>
      <c r="J396" s="545" t="str">
        <f>'Wrksht. H, CWIP Desc. EKS'!F336</f>
        <v>J2 Reheat Pendant Replacement project</v>
      </c>
    </row>
    <row r="397" spans="1:10" s="1417" customFormat="1" ht="12.75" customHeight="1">
      <c r="A397" s="619">
        <f t="shared" si="38"/>
        <v>327</v>
      </c>
      <c r="B397" s="539" t="str">
        <f>'Wrksht. H, CWIP Desc. EKS'!B337</f>
        <v>107000</v>
      </c>
      <c r="C397" s="540" t="str">
        <f>'Wrksht. H, CWIP Desc. EKS'!C337</f>
        <v>J19440101</v>
      </c>
      <c r="D397" s="546">
        <f>'Wrksht. I, CWIP AFUDC Cre. EKS'!I338</f>
        <v>1777883.6400000001</v>
      </c>
      <c r="E397" s="1400" t="str">
        <f>'Wrksht. H, CWIP Desc. EKS'!E337</f>
        <v>O</v>
      </c>
      <c r="F397" s="546"/>
      <c r="G397" s="546">
        <f t="shared" si="46"/>
        <v>0</v>
      </c>
      <c r="H397" s="546">
        <f t="shared" si="47"/>
        <v>888941.82000000007</v>
      </c>
      <c r="I397" s="544"/>
      <c r="J397" s="545" t="str">
        <f>'Wrksht. H, CWIP Desc. EKS'!F337</f>
        <v xml:space="preserve">J2 Cooling Tower Ring Rebuild 2022 </v>
      </c>
    </row>
    <row r="398" spans="1:10" s="1417" customFormat="1" ht="12.75" customHeight="1">
      <c r="A398" s="619">
        <f t="shared" si="38"/>
        <v>328</v>
      </c>
      <c r="B398" s="539" t="str">
        <f>'Wrksht. H, CWIP Desc. EKS'!B338</f>
        <v>107000</v>
      </c>
      <c r="C398" s="540" t="str">
        <f>'Wrksht. H, CWIP Desc. EKS'!C338</f>
        <v>W000020384</v>
      </c>
      <c r="D398" s="546">
        <f>'Wrksht. I, CWIP AFUDC Cre. EKS'!I339</f>
        <v>8240386.9199999999</v>
      </c>
      <c r="E398" s="1400" t="str">
        <f>'Wrksht. H, CWIP Desc. EKS'!E338</f>
        <v>O</v>
      </c>
      <c r="F398" s="546"/>
      <c r="G398" s="546">
        <f t="shared" si="46"/>
        <v>0</v>
      </c>
      <c r="H398" s="546">
        <f t="shared" si="47"/>
        <v>4120193.46</v>
      </c>
      <c r="I398" s="544"/>
      <c r="J398" s="545" t="str">
        <f>'Wrksht. H, CWIP Desc. EKS'!F338</f>
        <v>MAIN TRANSFOMERS (XMA01A/B/C/D) REP</v>
      </c>
    </row>
    <row r="399" spans="1:10" s="1417" customFormat="1" ht="12.75" customHeight="1">
      <c r="A399" s="619">
        <f t="shared" si="38"/>
        <v>329</v>
      </c>
      <c r="B399" s="539" t="str">
        <f>'Wrksht. H, CWIP Desc. EKS'!B339</f>
        <v>107000</v>
      </c>
      <c r="C399" s="540" t="str">
        <f>'Wrksht. H, CWIP Desc. EKS'!C339</f>
        <v>W000020633</v>
      </c>
      <c r="D399" s="546">
        <f>'Wrksht. I, CWIP AFUDC Cre. EKS'!I340</f>
        <v>2926956.3200000003</v>
      </c>
      <c r="E399" s="1400" t="str">
        <f>'Wrksht. H, CWIP Desc. EKS'!E339</f>
        <v>O</v>
      </c>
      <c r="F399" s="546"/>
      <c r="G399" s="546">
        <f t="shared" si="46"/>
        <v>0</v>
      </c>
      <c r="H399" s="546">
        <f t="shared" si="47"/>
        <v>1463478.1600000001</v>
      </c>
      <c r="I399" s="544"/>
      <c r="J399" s="545" t="str">
        <f>'Wrksht. H, CWIP Desc. EKS'!F339</f>
        <v>PLANT COMPUTER DIGITAL UPGRADE</v>
      </c>
    </row>
    <row r="400" spans="1:10" s="1417" customFormat="1" ht="12.75" customHeight="1">
      <c r="A400" s="619">
        <f t="shared" si="38"/>
        <v>330</v>
      </c>
      <c r="B400" s="539" t="str">
        <f>'Wrksht. H, CWIP Desc. EKS'!B340</f>
        <v>107000</v>
      </c>
      <c r="C400" s="540" t="str">
        <f>'Wrksht. H, CWIP Desc. EKS'!C340</f>
        <v>W000501679</v>
      </c>
      <c r="D400" s="546">
        <f>'Wrksht. I, CWIP AFUDC Cre. EKS'!I341</f>
        <v>1037566.12</v>
      </c>
      <c r="E400" s="1400" t="str">
        <f>'Wrksht. H, CWIP Desc. EKS'!E340</f>
        <v>O</v>
      </c>
      <c r="F400" s="546"/>
      <c r="G400" s="546">
        <f t="shared" si="46"/>
        <v>0</v>
      </c>
      <c r="H400" s="546">
        <f t="shared" si="47"/>
        <v>518783.06</v>
      </c>
      <c r="I400" s="544"/>
      <c r="J400" s="545" t="str">
        <f>'Wrksht. H, CWIP Desc. EKS'!F340</f>
        <v>CAPITAL PUMP AND MOTOR REFURBISHMENT</v>
      </c>
    </row>
    <row r="401" spans="1:10" s="1417" customFormat="1" ht="12.75" customHeight="1">
      <c r="A401" s="619">
        <f t="shared" si="38"/>
        <v>331</v>
      </c>
      <c r="B401" s="539" t="str">
        <f>'Wrksht. H, CWIP Desc. EKS'!B341</f>
        <v>107000</v>
      </c>
      <c r="C401" s="540" t="str">
        <f>'Wrksht. H, CWIP Desc. EKS'!C341</f>
        <v>W000501815</v>
      </c>
      <c r="D401" s="546">
        <f>'Wrksht. I, CWIP AFUDC Cre. EKS'!I342</f>
        <v>1174993.3500000001</v>
      </c>
      <c r="E401" s="1400" t="str">
        <f>'Wrksht. H, CWIP Desc. EKS'!E341</f>
        <v>O</v>
      </c>
      <c r="F401" s="546"/>
      <c r="G401" s="546">
        <f t="shared" si="46"/>
        <v>0</v>
      </c>
      <c r="H401" s="546">
        <f t="shared" si="47"/>
        <v>587496.67500000005</v>
      </c>
      <c r="I401" s="544"/>
      <c r="J401" s="545" t="str">
        <f>'Wrksht. H, CWIP Desc. EKS'!F341</f>
        <v>Plant computer modifications for RJ</v>
      </c>
    </row>
    <row r="402" spans="1:10" s="1417" customFormat="1" ht="12.75" customHeight="1">
      <c r="A402" s="619">
        <f t="shared" si="38"/>
        <v>332</v>
      </c>
      <c r="B402" s="539" t="str">
        <f>'Wrksht. H, CWIP Desc. EKS'!B342</f>
        <v>107000</v>
      </c>
      <c r="C402" s="540" t="str">
        <f>'Wrksht. H, CWIP Desc. EKS'!C342</f>
        <v>W000501823</v>
      </c>
      <c r="D402" s="546">
        <f>'Wrksht. I, CWIP AFUDC Cre. EKS'!I343</f>
        <v>2672177</v>
      </c>
      <c r="E402" s="1400" t="str">
        <f>'Wrksht. H, CWIP Desc. EKS'!E342</f>
        <v>O</v>
      </c>
      <c r="F402" s="546"/>
      <c r="G402" s="546">
        <f t="shared" si="46"/>
        <v>0</v>
      </c>
      <c r="H402" s="546">
        <f t="shared" si="47"/>
        <v>1336088.5</v>
      </c>
      <c r="I402" s="544"/>
      <c r="J402" s="545" t="str">
        <f>'Wrksht. H, CWIP Desc. EKS'!F342</f>
        <v>Adjust Single Ring block perimeter.</v>
      </c>
    </row>
    <row r="403" spans="1:10" s="1417" customFormat="1" ht="12.75" customHeight="1">
      <c r="A403" s="619">
        <f t="shared" si="38"/>
        <v>333</v>
      </c>
      <c r="B403" s="539" t="str">
        <f>'Wrksht. H, CWIP Desc. EKS'!B343</f>
        <v>107000</v>
      </c>
      <c r="C403" s="540" t="str">
        <f>'Wrksht. H, CWIP Desc. EKS'!C343</f>
        <v>W000501976</v>
      </c>
      <c r="D403" s="546">
        <f>'Wrksht. I, CWIP AFUDC Cre. EKS'!I344</f>
        <v>1331799.2</v>
      </c>
      <c r="E403" s="1400" t="str">
        <f>'Wrksht. H, CWIP Desc. EKS'!E343</f>
        <v>O</v>
      </c>
      <c r="F403" s="546"/>
      <c r="G403" s="546">
        <f t="shared" si="46"/>
        <v>0</v>
      </c>
      <c r="H403" s="546">
        <f t="shared" si="47"/>
        <v>665899.6</v>
      </c>
      <c r="I403" s="544"/>
      <c r="J403" s="545" t="str">
        <f>'Wrksht. H, CWIP Desc. EKS'!F343</f>
        <v>Risk Informed PMs</v>
      </c>
    </row>
    <row r="404" spans="1:10" s="1417" customFormat="1" ht="12.75" customHeight="1">
      <c r="A404" s="619">
        <f t="shared" si="38"/>
        <v>334</v>
      </c>
      <c r="B404" s="539" t="str">
        <f>'Wrksht. H, CWIP Desc. EKS'!B344</f>
        <v>107000</v>
      </c>
      <c r="C404" s="540" t="str">
        <f>'Wrksht. H, CWIP Desc. EKS'!C344</f>
        <v>W000502025</v>
      </c>
      <c r="D404" s="546">
        <f>'Wrksht. I, CWIP AFUDC Cre. EKS'!I345</f>
        <v>1067938.33</v>
      </c>
      <c r="E404" s="1400" t="str">
        <f>'Wrksht. H, CWIP Desc. EKS'!E344</f>
        <v>O</v>
      </c>
      <c r="F404" s="546"/>
      <c r="G404" s="546">
        <f t="shared" si="46"/>
        <v>0</v>
      </c>
      <c r="H404" s="546">
        <f t="shared" si="47"/>
        <v>533969.16500000004</v>
      </c>
      <c r="I404" s="544"/>
      <c r="J404" s="545" t="str">
        <f>'Wrksht. H, CWIP Desc. EKS'!F344</f>
        <v xml:space="preserve">Install vehicle barrier system </v>
      </c>
    </row>
    <row r="405" spans="1:10">
      <c r="A405" s="619">
        <f t="shared" si="38"/>
        <v>335</v>
      </c>
      <c r="B405" s="484"/>
      <c r="C405" s="512" t="s">
        <v>468</v>
      </c>
      <c r="D405" s="772">
        <f>SUM(D11:D404)</f>
        <v>76524619.329999998</v>
      </c>
      <c r="E405" s="528"/>
      <c r="F405" s="772"/>
      <c r="G405" s="772">
        <f>SUM(G11:G404)</f>
        <v>3638080.61</v>
      </c>
      <c r="H405" s="772">
        <f>SUM(H11:H404)</f>
        <v>36443275.359999999</v>
      </c>
      <c r="I405" s="1194">
        <f>G405+H405</f>
        <v>40081355.969999999</v>
      </c>
      <c r="J405" s="773" t="s">
        <v>25</v>
      </c>
    </row>
    <row r="406" spans="1:10" ht="20.399999999999999">
      <c r="A406" s="1740" t="s">
        <v>2999</v>
      </c>
      <c r="B406" s="1740"/>
      <c r="C406" s="1741"/>
      <c r="D406" s="1741"/>
      <c r="E406" s="1741"/>
      <c r="F406" s="1741"/>
      <c r="G406" s="1741"/>
      <c r="H406" s="1741"/>
      <c r="I406" s="1741"/>
      <c r="J406" s="1741"/>
    </row>
    <row r="407" spans="1:10" ht="19.2">
      <c r="A407" s="1742" t="str">
        <f>A2</f>
        <v>For Contract Year Beginning June 1, 2024, Based on 2023 Data</v>
      </c>
      <c r="B407" s="1742"/>
      <c r="C407" s="1743"/>
      <c r="D407" s="1743"/>
      <c r="E407" s="1743"/>
      <c r="F407" s="1743"/>
      <c r="G407" s="1743"/>
      <c r="H407" s="1743"/>
      <c r="I407" s="1743"/>
      <c r="J407" s="1743"/>
    </row>
    <row r="408" spans="1:10" ht="13.8">
      <c r="A408" s="506"/>
      <c r="B408" s="506" t="s">
        <v>476</v>
      </c>
      <c r="C408" s="484"/>
      <c r="D408" s="484"/>
      <c r="E408" s="484"/>
      <c r="F408" s="484"/>
      <c r="G408" s="484"/>
      <c r="H408" s="507"/>
      <c r="I408" s="484"/>
      <c r="J408" s="484"/>
    </row>
    <row r="409" spans="1:10">
      <c r="A409" s="485"/>
      <c r="B409" s="485"/>
      <c r="C409" s="487"/>
      <c r="D409" s="763" t="s">
        <v>480</v>
      </c>
      <c r="E409" s="763" t="s">
        <v>481</v>
      </c>
      <c r="F409" s="763" t="s">
        <v>482</v>
      </c>
      <c r="G409" s="763" t="s">
        <v>483</v>
      </c>
      <c r="H409" s="763" t="s">
        <v>484</v>
      </c>
      <c r="I409" s="763" t="s">
        <v>884</v>
      </c>
      <c r="J409" s="763" t="s">
        <v>485</v>
      </c>
    </row>
    <row r="410" spans="1:10">
      <c r="A410" s="506"/>
      <c r="B410" s="506"/>
      <c r="C410" s="484"/>
      <c r="D410" s="511"/>
      <c r="E410" s="774">
        <v>1</v>
      </c>
      <c r="F410" s="774">
        <v>1</v>
      </c>
      <c r="G410" s="764"/>
      <c r="H410" s="764"/>
      <c r="I410" s="764" t="s">
        <v>468</v>
      </c>
      <c r="J410" s="764" t="s">
        <v>476</v>
      </c>
    </row>
    <row r="411" spans="1:10">
      <c r="A411" s="506"/>
      <c r="B411" s="506"/>
      <c r="C411" s="484"/>
      <c r="D411" s="609" t="s">
        <v>476</v>
      </c>
      <c r="E411" s="764" t="s">
        <v>1231</v>
      </c>
      <c r="F411" s="764" t="s">
        <v>1232</v>
      </c>
      <c r="G411" s="764" t="s">
        <v>477</v>
      </c>
      <c r="H411" s="764" t="s">
        <v>478</v>
      </c>
      <c r="I411" s="764" t="s">
        <v>1079</v>
      </c>
      <c r="J411" s="764" t="s">
        <v>486</v>
      </c>
    </row>
    <row r="412" spans="1:10">
      <c r="A412" s="506"/>
      <c r="B412" s="506"/>
      <c r="C412" s="484"/>
      <c r="D412" s="764" t="s">
        <v>487</v>
      </c>
      <c r="E412" s="764" t="s">
        <v>479</v>
      </c>
      <c r="F412" s="764" t="s">
        <v>479</v>
      </c>
      <c r="G412" s="764" t="s">
        <v>479</v>
      </c>
      <c r="H412" s="764" t="s">
        <v>479</v>
      </c>
      <c r="I412" s="764" t="s">
        <v>299</v>
      </c>
      <c r="J412" s="764" t="s">
        <v>300</v>
      </c>
    </row>
    <row r="413" spans="1:10">
      <c r="A413" s="499" t="s">
        <v>531</v>
      </c>
      <c r="B413" s="500" t="s">
        <v>1078</v>
      </c>
      <c r="C413" s="501" t="s">
        <v>880</v>
      </c>
      <c r="D413" s="484"/>
      <c r="E413" s="484"/>
      <c r="F413" s="484"/>
      <c r="G413" s="510"/>
      <c r="H413" s="510"/>
      <c r="I413" s="484"/>
      <c r="J413" s="484"/>
    </row>
    <row r="414" spans="1:10">
      <c r="A414" s="618" t="s">
        <v>476</v>
      </c>
      <c r="B414" s="1397"/>
      <c r="C414" s="1343" t="s">
        <v>301</v>
      </c>
      <c r="D414" s="1399"/>
      <c r="E414" s="1399"/>
      <c r="F414" s="1399"/>
      <c r="G414" s="1399"/>
      <c r="H414" s="1421"/>
      <c r="I414" s="1422"/>
      <c r="J414" s="1423"/>
    </row>
    <row r="415" spans="1:10" ht="26.4">
      <c r="A415" s="618">
        <v>1</v>
      </c>
      <c r="B415" s="1414">
        <v>190200</v>
      </c>
      <c r="C415" s="1414" t="s">
        <v>1824</v>
      </c>
      <c r="D415" s="1578">
        <v>1775323.98</v>
      </c>
      <c r="E415" s="1578">
        <v>0</v>
      </c>
      <c r="F415" s="1578">
        <v>1775323.98</v>
      </c>
      <c r="G415" s="1578">
        <v>0</v>
      </c>
      <c r="H415" s="1578">
        <v>0</v>
      </c>
      <c r="I415" s="1424"/>
      <c r="J415" s="1413" t="s">
        <v>3311</v>
      </c>
    </row>
    <row r="416" spans="1:10" ht="26.4">
      <c r="A416" s="618">
        <f t="shared" ref="A416:A422" si="48">A415+1</f>
        <v>2</v>
      </c>
      <c r="B416" s="1414">
        <v>190200</v>
      </c>
      <c r="C416" s="1414" t="s">
        <v>927</v>
      </c>
      <c r="D416" s="1578">
        <v>7727355.4400000004</v>
      </c>
      <c r="E416" s="1578">
        <v>7727355.4400000004</v>
      </c>
      <c r="F416" s="1579">
        <v>0</v>
      </c>
      <c r="G416" s="1578">
        <v>0</v>
      </c>
      <c r="H416" s="1578">
        <v>0</v>
      </c>
      <c r="I416" s="1424"/>
      <c r="J416" s="1413" t="s">
        <v>3312</v>
      </c>
    </row>
    <row r="417" spans="1:10" ht="26.4">
      <c r="A417" s="618">
        <f>+A416+1</f>
        <v>3</v>
      </c>
      <c r="B417" s="1414">
        <v>190200</v>
      </c>
      <c r="C417" s="1414" t="s">
        <v>3307</v>
      </c>
      <c r="D417" s="1578">
        <v>0</v>
      </c>
      <c r="E417" s="1578">
        <v>0</v>
      </c>
      <c r="F417" s="1578">
        <v>0</v>
      </c>
      <c r="G417" s="1578">
        <v>0</v>
      </c>
      <c r="H417" s="1578">
        <v>0</v>
      </c>
      <c r="I417" s="1424"/>
      <c r="J417" s="1413" t="s">
        <v>3248</v>
      </c>
    </row>
    <row r="418" spans="1:10" ht="26.4">
      <c r="A418" s="618">
        <f>+A417+1</f>
        <v>4</v>
      </c>
      <c r="B418" s="1414">
        <v>190200</v>
      </c>
      <c r="C418" s="1414" t="s">
        <v>1825</v>
      </c>
      <c r="D418" s="1578">
        <v>15211492.720000001</v>
      </c>
      <c r="E418" s="1578">
        <v>15211492.720000001</v>
      </c>
      <c r="F418" s="1579">
        <v>0</v>
      </c>
      <c r="G418" s="1578">
        <v>0</v>
      </c>
      <c r="H418" s="1578">
        <v>0</v>
      </c>
      <c r="I418" s="1424"/>
      <c r="J418" s="1413" t="s">
        <v>1597</v>
      </c>
    </row>
    <row r="419" spans="1:10">
      <c r="A419" s="618">
        <f t="shared" si="48"/>
        <v>5</v>
      </c>
      <c r="B419" s="1414">
        <v>190200</v>
      </c>
      <c r="C419" s="1414" t="s">
        <v>162</v>
      </c>
      <c r="D419" s="1578">
        <v>0</v>
      </c>
      <c r="E419" s="1578">
        <v>0</v>
      </c>
      <c r="F419" s="1579">
        <v>0</v>
      </c>
      <c r="G419" s="1578">
        <v>0</v>
      </c>
      <c r="H419" s="1578">
        <v>0</v>
      </c>
      <c r="I419" s="1424"/>
      <c r="J419" s="1413" t="s">
        <v>1586</v>
      </c>
    </row>
    <row r="420" spans="1:10">
      <c r="A420" s="618">
        <f t="shared" si="48"/>
        <v>6</v>
      </c>
      <c r="B420" s="1414">
        <v>190200</v>
      </c>
      <c r="C420" s="1414" t="s">
        <v>1587</v>
      </c>
      <c r="D420" s="1578">
        <v>1423745.81</v>
      </c>
      <c r="E420" s="1578">
        <v>0</v>
      </c>
      <c r="F420" s="1579">
        <v>0</v>
      </c>
      <c r="G420" s="1578">
        <v>0</v>
      </c>
      <c r="H420" s="1578">
        <v>1423745.81</v>
      </c>
      <c r="I420" s="1424"/>
      <c r="J420" s="1413" t="s">
        <v>1588</v>
      </c>
    </row>
    <row r="421" spans="1:10" ht="26.4">
      <c r="A421" s="618">
        <f t="shared" si="48"/>
        <v>7</v>
      </c>
      <c r="B421" s="1414">
        <v>190200</v>
      </c>
      <c r="C421" s="1414" t="s">
        <v>163</v>
      </c>
      <c r="D421" s="1578">
        <v>287243.09999999998</v>
      </c>
      <c r="E421" s="1578">
        <v>0</v>
      </c>
      <c r="F421" s="1579">
        <v>0</v>
      </c>
      <c r="G421" s="1578">
        <v>0</v>
      </c>
      <c r="H421" s="1578">
        <v>287243.09999999998</v>
      </c>
      <c r="I421" s="1424"/>
      <c r="J421" s="1413" t="s">
        <v>1572</v>
      </c>
    </row>
    <row r="422" spans="1:10">
      <c r="A422" s="618">
        <f t="shared" si="48"/>
        <v>8</v>
      </c>
      <c r="B422" s="1414">
        <v>190200</v>
      </c>
      <c r="C422" s="1414" t="s">
        <v>1573</v>
      </c>
      <c r="D422" s="1578">
        <v>3.16</v>
      </c>
      <c r="E422" s="1578">
        <v>3.16</v>
      </c>
      <c r="F422" s="1579">
        <v>0</v>
      </c>
      <c r="G422" s="1578">
        <v>0</v>
      </c>
      <c r="H422" s="1578">
        <v>0</v>
      </c>
      <c r="I422" s="1424"/>
      <c r="J422" s="1413" t="s">
        <v>1574</v>
      </c>
    </row>
    <row r="423" spans="1:10" ht="13.2" customHeight="1">
      <c r="A423" s="619">
        <f>+A422+1</f>
        <v>9</v>
      </c>
      <c r="B423" s="1414">
        <v>190200</v>
      </c>
      <c r="C423" s="1426" t="s">
        <v>99</v>
      </c>
      <c r="D423" s="1578">
        <v>98160.960000000006</v>
      </c>
      <c r="E423" s="1578">
        <v>0</v>
      </c>
      <c r="F423" s="1579"/>
      <c r="G423" s="1578">
        <v>0</v>
      </c>
      <c r="H423" s="1578">
        <v>98160.960000000006</v>
      </c>
      <c r="I423" s="1424"/>
      <c r="J423" s="1413" t="s">
        <v>100</v>
      </c>
    </row>
    <row r="424" spans="1:10" ht="26.4">
      <c r="A424" s="619">
        <f>+A423+1</f>
        <v>10</v>
      </c>
      <c r="B424" s="1414">
        <v>190200</v>
      </c>
      <c r="C424" s="1414" t="s">
        <v>101</v>
      </c>
      <c r="D424" s="1578">
        <v>0</v>
      </c>
      <c r="E424" s="1578">
        <v>0</v>
      </c>
      <c r="F424" s="1579">
        <v>0</v>
      </c>
      <c r="G424" s="1578">
        <v>0</v>
      </c>
      <c r="H424" s="1578">
        <v>0</v>
      </c>
      <c r="I424" s="1424"/>
      <c r="J424" s="1413" t="s">
        <v>102</v>
      </c>
    </row>
    <row r="425" spans="1:10">
      <c r="A425" s="619">
        <f>+A424+1</f>
        <v>11</v>
      </c>
      <c r="B425" s="1414">
        <v>190200</v>
      </c>
      <c r="C425" s="1414" t="s">
        <v>103</v>
      </c>
      <c r="D425" s="1578">
        <v>504.63</v>
      </c>
      <c r="E425" s="1578">
        <v>0</v>
      </c>
      <c r="F425" s="1579">
        <v>0</v>
      </c>
      <c r="G425" s="1578">
        <v>0</v>
      </c>
      <c r="H425" s="1578">
        <v>504.63</v>
      </c>
      <c r="I425" s="1424"/>
      <c r="J425" s="1413" t="s">
        <v>1234</v>
      </c>
    </row>
    <row r="426" spans="1:10" ht="26.4">
      <c r="A426" s="619">
        <f t="shared" ref="A426:A443" si="49">+A425+1</f>
        <v>12</v>
      </c>
      <c r="B426" s="1414">
        <v>190200</v>
      </c>
      <c r="C426" s="1414" t="s">
        <v>632</v>
      </c>
      <c r="D426" s="1578">
        <v>-1788165.51</v>
      </c>
      <c r="E426" s="1578">
        <v>-1788165.51</v>
      </c>
      <c r="F426" s="1579">
        <v>0</v>
      </c>
      <c r="G426" s="1578">
        <v>0</v>
      </c>
      <c r="H426" s="1578">
        <v>0</v>
      </c>
      <c r="I426" s="1424"/>
      <c r="J426" s="1413" t="s">
        <v>633</v>
      </c>
    </row>
    <row r="427" spans="1:10" ht="26.4">
      <c r="A427" s="619">
        <f t="shared" si="49"/>
        <v>13</v>
      </c>
      <c r="B427" s="1414">
        <v>190200</v>
      </c>
      <c r="C427" s="1414" t="s">
        <v>1404</v>
      </c>
      <c r="D427" s="1578">
        <v>3780422.49</v>
      </c>
      <c r="E427" s="1578">
        <v>3780422.49</v>
      </c>
      <c r="F427" s="1579">
        <v>0</v>
      </c>
      <c r="G427" s="1578">
        <v>0</v>
      </c>
      <c r="H427" s="1578">
        <v>0</v>
      </c>
      <c r="I427" s="1424"/>
      <c r="J427" s="1413" t="s">
        <v>1405</v>
      </c>
    </row>
    <row r="428" spans="1:10">
      <c r="A428" s="619">
        <f t="shared" si="49"/>
        <v>14</v>
      </c>
      <c r="B428" s="1414">
        <v>190200</v>
      </c>
      <c r="C428" s="1414" t="s">
        <v>1406</v>
      </c>
      <c r="D428" s="1578">
        <v>-98677.11</v>
      </c>
      <c r="E428" s="1578">
        <v>0</v>
      </c>
      <c r="F428" s="1579">
        <v>0</v>
      </c>
      <c r="G428" s="1578">
        <v>-98677.11</v>
      </c>
      <c r="H428" s="1578">
        <v>0</v>
      </c>
      <c r="I428" s="1424"/>
      <c r="J428" s="1413" t="s">
        <v>1407</v>
      </c>
    </row>
    <row r="429" spans="1:10">
      <c r="A429" s="619">
        <f t="shared" si="49"/>
        <v>15</v>
      </c>
      <c r="B429" s="1414">
        <v>190200</v>
      </c>
      <c r="C429" s="1414" t="s">
        <v>3502</v>
      </c>
      <c r="D429" s="1578">
        <v>-395192.7</v>
      </c>
      <c r="E429" s="1578">
        <v>-395192.7</v>
      </c>
      <c r="F429" s="1579"/>
      <c r="G429" s="1578"/>
      <c r="H429" s="1578"/>
      <c r="I429" s="1424"/>
      <c r="J429" s="1413" t="s">
        <v>3503</v>
      </c>
    </row>
    <row r="430" spans="1:10" ht="26.4">
      <c r="A430" s="619">
        <f t="shared" si="49"/>
        <v>16</v>
      </c>
      <c r="B430" s="1414">
        <v>190200</v>
      </c>
      <c r="C430" s="1414" t="s">
        <v>1435</v>
      </c>
      <c r="D430" s="1578">
        <v>6205827</v>
      </c>
      <c r="E430" s="1578">
        <v>0</v>
      </c>
      <c r="F430" s="1579">
        <v>6205827</v>
      </c>
      <c r="G430" s="1578">
        <v>0</v>
      </c>
      <c r="H430" s="1578"/>
      <c r="I430" s="1424"/>
      <c r="J430" s="1413" t="s">
        <v>2705</v>
      </c>
    </row>
    <row r="431" spans="1:10" ht="26.4">
      <c r="A431" s="619">
        <f t="shared" si="49"/>
        <v>17</v>
      </c>
      <c r="B431" s="1414">
        <v>190200</v>
      </c>
      <c r="C431" s="1413" t="s">
        <v>272</v>
      </c>
      <c r="D431" s="1578">
        <v>162210.23999999999</v>
      </c>
      <c r="E431" s="1578">
        <v>0</v>
      </c>
      <c r="F431" s="1578">
        <v>0</v>
      </c>
      <c r="G431" s="1578">
        <v>0</v>
      </c>
      <c r="H431" s="1578">
        <v>162210.23999999999</v>
      </c>
      <c r="I431" s="1424"/>
      <c r="J431" s="1413" t="s">
        <v>1768</v>
      </c>
    </row>
    <row r="432" spans="1:10" ht="26.4">
      <c r="A432" s="619">
        <f t="shared" si="49"/>
        <v>18</v>
      </c>
      <c r="B432" s="1414">
        <v>190200</v>
      </c>
      <c r="C432" s="1414" t="s">
        <v>3308</v>
      </c>
      <c r="D432" s="1408">
        <v>0</v>
      </c>
      <c r="E432" s="1408">
        <v>0</v>
      </c>
      <c r="F432" s="1425">
        <v>0</v>
      </c>
      <c r="G432" s="1408">
        <v>0</v>
      </c>
      <c r="H432" s="1408">
        <v>0</v>
      </c>
      <c r="I432" s="1424"/>
      <c r="J432" s="1413" t="s">
        <v>3313</v>
      </c>
    </row>
    <row r="433" spans="1:10" ht="26.4">
      <c r="A433" s="619">
        <f t="shared" si="49"/>
        <v>19</v>
      </c>
      <c r="B433" s="1414">
        <v>190200</v>
      </c>
      <c r="C433" s="1414" t="s">
        <v>257</v>
      </c>
      <c r="D433" s="1408"/>
      <c r="E433" s="1408">
        <v>0</v>
      </c>
      <c r="F433" s="1425">
        <v>0</v>
      </c>
      <c r="G433" s="1408">
        <v>0</v>
      </c>
      <c r="H433" s="1408">
        <v>0</v>
      </c>
      <c r="I433" s="1424"/>
      <c r="J433" s="1413" t="s">
        <v>406</v>
      </c>
    </row>
    <row r="434" spans="1:10" ht="26.4">
      <c r="A434" s="619">
        <f t="shared" si="49"/>
        <v>20</v>
      </c>
      <c r="B434" s="1414">
        <v>190200</v>
      </c>
      <c r="C434" s="1414" t="s">
        <v>1785</v>
      </c>
      <c r="D434" s="1408">
        <v>0</v>
      </c>
      <c r="E434" s="1408">
        <v>0</v>
      </c>
      <c r="F434" s="1425">
        <v>0</v>
      </c>
      <c r="G434" s="1408">
        <v>0</v>
      </c>
      <c r="H434" s="1408">
        <v>0</v>
      </c>
      <c r="I434" s="1424"/>
      <c r="J434" s="1413" t="s">
        <v>1771</v>
      </c>
    </row>
    <row r="435" spans="1:10" ht="16.95" customHeight="1">
      <c r="A435" s="619">
        <f t="shared" si="49"/>
        <v>21</v>
      </c>
      <c r="B435" s="1414">
        <v>190200</v>
      </c>
      <c r="C435" s="1414" t="s">
        <v>1786</v>
      </c>
      <c r="D435" s="1408">
        <v>0</v>
      </c>
      <c r="E435" s="1408">
        <v>0</v>
      </c>
      <c r="F435" s="1425">
        <v>0</v>
      </c>
      <c r="G435" s="1408">
        <v>0</v>
      </c>
      <c r="H435" s="1408">
        <v>0</v>
      </c>
      <c r="I435" s="1424"/>
      <c r="J435" s="1413" t="s">
        <v>501</v>
      </c>
    </row>
    <row r="436" spans="1:10" ht="26.4">
      <c r="A436" s="619">
        <f t="shared" si="49"/>
        <v>22</v>
      </c>
      <c r="B436" s="1414">
        <v>190200</v>
      </c>
      <c r="C436" s="1414" t="s">
        <v>3592</v>
      </c>
      <c r="D436" s="1408">
        <v>-265160.40999999997</v>
      </c>
      <c r="E436" s="1408">
        <v>-265160.40999999997</v>
      </c>
      <c r="F436" s="1425"/>
      <c r="G436" s="1408"/>
      <c r="H436" s="1408"/>
      <c r="I436" s="1424"/>
      <c r="J436" s="1413" t="s">
        <v>3593</v>
      </c>
    </row>
    <row r="437" spans="1:10" ht="13.2" customHeight="1">
      <c r="A437" s="619">
        <f t="shared" si="49"/>
        <v>23</v>
      </c>
      <c r="B437" s="1414">
        <v>190200</v>
      </c>
      <c r="C437" s="1414" t="s">
        <v>3594</v>
      </c>
      <c r="D437" s="1408">
        <v>142294.6</v>
      </c>
      <c r="E437" s="1408">
        <v>142294.6</v>
      </c>
      <c r="F437" s="1425"/>
      <c r="G437" s="1408"/>
      <c r="H437" s="1408"/>
      <c r="I437" s="1424"/>
      <c r="J437" s="1413" t="s">
        <v>3595</v>
      </c>
    </row>
    <row r="438" spans="1:10" ht="29.4" customHeight="1">
      <c r="A438" s="619">
        <f t="shared" si="49"/>
        <v>24</v>
      </c>
      <c r="B438" s="1349">
        <v>190200</v>
      </c>
      <c r="C438" s="1354" t="s">
        <v>3596</v>
      </c>
      <c r="D438" s="1383">
        <v>0</v>
      </c>
      <c r="E438" s="1383">
        <v>0</v>
      </c>
      <c r="F438" s="1427"/>
      <c r="G438" s="1383"/>
      <c r="H438" s="1383"/>
      <c r="I438" s="1428"/>
      <c r="J438" s="1352" t="s">
        <v>3597</v>
      </c>
    </row>
    <row r="439" spans="1:10" ht="15.6" customHeight="1">
      <c r="A439" s="619">
        <f t="shared" si="49"/>
        <v>25</v>
      </c>
      <c r="B439" s="1349">
        <v>190200</v>
      </c>
      <c r="C439" s="1354" t="s">
        <v>3598</v>
      </c>
      <c r="D439" s="1383">
        <v>10135689.9</v>
      </c>
      <c r="E439" s="1383">
        <v>10135689.9</v>
      </c>
      <c r="F439" s="1425"/>
      <c r="G439" s="1408"/>
      <c r="H439" s="1408"/>
      <c r="I439" s="1428"/>
      <c r="J439" s="1352" t="s">
        <v>3599</v>
      </c>
    </row>
    <row r="440" spans="1:10">
      <c r="A440" s="619">
        <f t="shared" si="49"/>
        <v>26</v>
      </c>
      <c r="B440" s="1349">
        <v>190200</v>
      </c>
      <c r="C440" s="1354" t="s">
        <v>3600</v>
      </c>
      <c r="D440" s="1383">
        <v>2772706.7</v>
      </c>
      <c r="E440" s="1383">
        <v>2772706.7</v>
      </c>
      <c r="F440" s="1425"/>
      <c r="G440" s="1408"/>
      <c r="H440" s="1408"/>
      <c r="I440" s="1428"/>
      <c r="J440" s="1352" t="s">
        <v>3601</v>
      </c>
    </row>
    <row r="441" spans="1:10" ht="15" customHeight="1">
      <c r="A441" s="619">
        <f t="shared" si="49"/>
        <v>27</v>
      </c>
      <c r="B441" s="1349">
        <v>190200</v>
      </c>
      <c r="C441" s="1349" t="s">
        <v>258</v>
      </c>
      <c r="D441" s="1383">
        <v>0</v>
      </c>
      <c r="E441" s="1383">
        <v>0</v>
      </c>
      <c r="F441" s="1383">
        <v>0</v>
      </c>
      <c r="G441" s="1383">
        <v>0</v>
      </c>
      <c r="H441" s="1383">
        <v>0</v>
      </c>
      <c r="I441" s="1428"/>
      <c r="J441" s="1352" t="s">
        <v>944</v>
      </c>
    </row>
    <row r="442" spans="1:10" ht="26.4">
      <c r="A442" s="619">
        <f t="shared" si="49"/>
        <v>28</v>
      </c>
      <c r="B442" s="1349">
        <v>190200</v>
      </c>
      <c r="C442" s="1349" t="s">
        <v>3238</v>
      </c>
      <c r="D442" s="1383"/>
      <c r="E442" s="1383">
        <v>0</v>
      </c>
      <c r="F442" s="1427">
        <v>0</v>
      </c>
      <c r="G442" s="1383">
        <v>0</v>
      </c>
      <c r="H442" s="1383">
        <v>0</v>
      </c>
      <c r="I442" s="1428"/>
      <c r="J442" s="1352" t="s">
        <v>3252</v>
      </c>
    </row>
    <row r="443" spans="1:10" ht="26.4">
      <c r="A443" s="619">
        <f t="shared" si="49"/>
        <v>29</v>
      </c>
      <c r="B443" s="1349">
        <v>190200</v>
      </c>
      <c r="C443" s="1349" t="s">
        <v>1826</v>
      </c>
      <c r="D443" s="1383">
        <v>12792.88</v>
      </c>
      <c r="E443" s="1383">
        <v>12792.88</v>
      </c>
      <c r="F443" s="1427">
        <v>0</v>
      </c>
      <c r="G443" s="1383">
        <v>0</v>
      </c>
      <c r="H443" s="1383">
        <v>0</v>
      </c>
      <c r="I443" s="1428"/>
      <c r="J443" s="1352" t="s">
        <v>1596</v>
      </c>
    </row>
    <row r="444" spans="1:10" ht="20.399999999999999">
      <c r="A444" s="1740" t="s">
        <v>2999</v>
      </c>
      <c r="B444" s="1740"/>
      <c r="C444" s="1741"/>
      <c r="D444" s="1741"/>
      <c r="E444" s="1741"/>
      <c r="F444" s="1741"/>
      <c r="G444" s="1741"/>
      <c r="H444" s="1741"/>
      <c r="I444" s="1741"/>
      <c r="J444" s="1741"/>
    </row>
    <row r="445" spans="1:10" ht="19.2">
      <c r="A445" s="1742" t="str">
        <f>A2</f>
        <v>For Contract Year Beginning June 1, 2024, Based on 2023 Data</v>
      </c>
      <c r="B445" s="1742"/>
      <c r="C445" s="1743"/>
      <c r="D445" s="1743"/>
      <c r="E445" s="1743"/>
      <c r="F445" s="1743"/>
      <c r="G445" s="1743"/>
      <c r="H445" s="1743"/>
      <c r="I445" s="1743"/>
      <c r="J445" s="1743"/>
    </row>
    <row r="446" spans="1:10" ht="13.8">
      <c r="A446" s="506"/>
      <c r="B446" s="506"/>
      <c r="C446" s="484"/>
      <c r="D446" s="484"/>
      <c r="E446" s="484"/>
      <c r="F446" s="484"/>
      <c r="G446" s="484"/>
      <c r="H446" s="507"/>
      <c r="I446" s="484"/>
      <c r="J446" s="484"/>
    </row>
    <row r="447" spans="1:10">
      <c r="A447" s="485"/>
      <c r="B447" s="485"/>
      <c r="C447" s="487"/>
      <c r="D447" s="763" t="s">
        <v>480</v>
      </c>
      <c r="E447" s="763" t="s">
        <v>481</v>
      </c>
      <c r="F447" s="763" t="s">
        <v>482</v>
      </c>
      <c r="G447" s="763" t="s">
        <v>483</v>
      </c>
      <c r="H447" s="763" t="s">
        <v>484</v>
      </c>
      <c r="I447" s="763" t="s">
        <v>884</v>
      </c>
      <c r="J447" s="763" t="s">
        <v>485</v>
      </c>
    </row>
    <row r="448" spans="1:10">
      <c r="A448" s="506"/>
      <c r="B448" s="506"/>
      <c r="C448" s="484"/>
      <c r="D448" s="511"/>
      <c r="E448" s="774" t="s">
        <v>789</v>
      </c>
      <c r="F448" s="774" t="s">
        <v>789</v>
      </c>
      <c r="G448" s="764"/>
      <c r="H448" s="764"/>
      <c r="I448" s="764" t="s">
        <v>468</v>
      </c>
      <c r="J448" s="764" t="s">
        <v>476</v>
      </c>
    </row>
    <row r="449" spans="1:11">
      <c r="A449" s="506"/>
      <c r="B449" s="506"/>
      <c r="C449" s="484"/>
      <c r="D449" s="609" t="s">
        <v>476</v>
      </c>
      <c r="E449" s="764" t="s">
        <v>1231</v>
      </c>
      <c r="F449" s="764" t="s">
        <v>1232</v>
      </c>
      <c r="G449" s="764" t="s">
        <v>477</v>
      </c>
      <c r="H449" s="764" t="s">
        <v>478</v>
      </c>
      <c r="I449" s="764" t="s">
        <v>1079</v>
      </c>
      <c r="J449" s="764" t="s">
        <v>486</v>
      </c>
    </row>
    <row r="450" spans="1:11">
      <c r="A450" s="506"/>
      <c r="B450" s="506"/>
      <c r="C450" s="484"/>
      <c r="D450" s="764" t="s">
        <v>487</v>
      </c>
      <c r="E450" s="764" t="s">
        <v>479</v>
      </c>
      <c r="F450" s="764" t="s">
        <v>479</v>
      </c>
      <c r="G450" s="764" t="s">
        <v>479</v>
      </c>
      <c r="H450" s="764" t="s">
        <v>479</v>
      </c>
      <c r="I450" s="764" t="s">
        <v>299</v>
      </c>
      <c r="J450" s="764" t="s">
        <v>300</v>
      </c>
    </row>
    <row r="451" spans="1:11">
      <c r="A451" s="499" t="s">
        <v>531</v>
      </c>
      <c r="B451" s="500" t="s">
        <v>1078</v>
      </c>
      <c r="C451" s="501" t="s">
        <v>880</v>
      </c>
      <c r="D451" s="484"/>
      <c r="E451" s="484"/>
      <c r="F451" s="484"/>
      <c r="G451" s="510"/>
      <c r="H451" s="510"/>
      <c r="I451" s="484"/>
      <c r="J451" s="484"/>
    </row>
    <row r="452" spans="1:11" ht="26.4">
      <c r="A452" s="618">
        <f>+A443+1</f>
        <v>30</v>
      </c>
      <c r="B452" s="1349">
        <v>190200</v>
      </c>
      <c r="C452" s="1349" t="s">
        <v>1781</v>
      </c>
      <c r="D452" s="1383">
        <v>36752.43</v>
      </c>
      <c r="E452" s="1383">
        <v>36752.43</v>
      </c>
      <c r="F452" s="1383">
        <v>0</v>
      </c>
      <c r="G452" s="1383">
        <v>0</v>
      </c>
      <c r="H452" s="1383">
        <v>0</v>
      </c>
      <c r="I452" s="1428"/>
      <c r="J452" s="1352" t="s">
        <v>1051</v>
      </c>
      <c r="K452" s="1417"/>
    </row>
    <row r="453" spans="1:11" ht="26.4">
      <c r="A453" s="618">
        <f t="shared" ref="A453:A481" si="50">A452+1</f>
        <v>31</v>
      </c>
      <c r="B453" s="1349">
        <v>190200</v>
      </c>
      <c r="C453" s="1349" t="s">
        <v>1052</v>
      </c>
      <c r="D453" s="1383"/>
      <c r="E453" s="1383">
        <v>0</v>
      </c>
      <c r="F453" s="1427">
        <v>0</v>
      </c>
      <c r="G453" s="1383">
        <v>0</v>
      </c>
      <c r="H453" s="1383">
        <v>0</v>
      </c>
      <c r="I453" s="1428"/>
      <c r="J453" s="1352" t="s">
        <v>1053</v>
      </c>
      <c r="K453" s="1417"/>
    </row>
    <row r="454" spans="1:11" ht="25.5" customHeight="1">
      <c r="A454" s="618">
        <f t="shared" si="50"/>
        <v>32</v>
      </c>
      <c r="B454" s="1349">
        <v>190200</v>
      </c>
      <c r="C454" s="1349" t="s">
        <v>273</v>
      </c>
      <c r="D454" s="1383"/>
      <c r="E454" s="1383">
        <v>0</v>
      </c>
      <c r="F454" s="1427">
        <v>0</v>
      </c>
      <c r="G454" s="1383">
        <v>0</v>
      </c>
      <c r="H454" s="1383">
        <v>0</v>
      </c>
      <c r="I454" s="1428"/>
      <c r="J454" s="1352" t="s">
        <v>1014</v>
      </c>
      <c r="K454" s="1417"/>
    </row>
    <row r="455" spans="1:11" ht="26.4">
      <c r="A455" s="618">
        <f t="shared" si="50"/>
        <v>33</v>
      </c>
      <c r="B455" s="1349">
        <v>190200</v>
      </c>
      <c r="C455" s="1349" t="s">
        <v>1015</v>
      </c>
      <c r="D455" s="1383"/>
      <c r="E455" s="1383">
        <v>0</v>
      </c>
      <c r="F455" s="1427">
        <v>0</v>
      </c>
      <c r="G455" s="1383">
        <v>0</v>
      </c>
      <c r="H455" s="1383">
        <v>0</v>
      </c>
      <c r="I455" s="1428"/>
      <c r="J455" s="1352" t="s">
        <v>1016</v>
      </c>
      <c r="K455" s="1417"/>
    </row>
    <row r="456" spans="1:11" ht="26.4">
      <c r="A456" s="618">
        <f t="shared" si="50"/>
        <v>34</v>
      </c>
      <c r="B456" s="1349">
        <v>190200</v>
      </c>
      <c r="C456" s="1349" t="s">
        <v>1017</v>
      </c>
      <c r="D456" s="1383">
        <v>2195046.3199999998</v>
      </c>
      <c r="E456" s="1383">
        <v>2195046.3199999998</v>
      </c>
      <c r="F456" s="1427">
        <v>0</v>
      </c>
      <c r="G456" s="1383">
        <v>0</v>
      </c>
      <c r="H456" s="1383">
        <v>0</v>
      </c>
      <c r="I456" s="1428"/>
      <c r="J456" s="1352" t="s">
        <v>1018</v>
      </c>
      <c r="K456" s="1417"/>
    </row>
    <row r="457" spans="1:11" ht="28.95" customHeight="1">
      <c r="A457" s="618">
        <f t="shared" si="50"/>
        <v>35</v>
      </c>
      <c r="B457" s="1349">
        <v>190200</v>
      </c>
      <c r="C457" s="1349" t="s">
        <v>3309</v>
      </c>
      <c r="D457" s="1383">
        <v>0</v>
      </c>
      <c r="E457" s="1383">
        <v>0</v>
      </c>
      <c r="F457" s="1427">
        <v>0</v>
      </c>
      <c r="G457" s="1427">
        <v>0</v>
      </c>
      <c r="H457" s="1427">
        <v>0</v>
      </c>
      <c r="I457" s="1428"/>
      <c r="J457" s="1352" t="s">
        <v>3254</v>
      </c>
      <c r="K457" s="1417"/>
    </row>
    <row r="458" spans="1:11" ht="26.4">
      <c r="A458" s="618">
        <f t="shared" si="50"/>
        <v>36</v>
      </c>
      <c r="B458" s="1349">
        <v>190200</v>
      </c>
      <c r="C458" s="1349" t="s">
        <v>500</v>
      </c>
      <c r="D458" s="1383"/>
      <c r="E458" s="1383">
        <v>0</v>
      </c>
      <c r="F458" s="1427">
        <v>0</v>
      </c>
      <c r="G458" s="1427">
        <v>0</v>
      </c>
      <c r="H458" s="1427">
        <v>0</v>
      </c>
      <c r="I458" s="1428"/>
      <c r="J458" s="1352" t="s">
        <v>1233</v>
      </c>
      <c r="K458" s="1417"/>
    </row>
    <row r="459" spans="1:11">
      <c r="A459" s="618">
        <f t="shared" si="50"/>
        <v>37</v>
      </c>
      <c r="B459" s="1349">
        <v>190200</v>
      </c>
      <c r="C459" s="1349" t="s">
        <v>1788</v>
      </c>
      <c r="D459" s="1383">
        <v>818326.24</v>
      </c>
      <c r="E459" s="1383">
        <v>818326.24</v>
      </c>
      <c r="F459" s="1427">
        <v>0</v>
      </c>
      <c r="G459" s="1427">
        <v>0</v>
      </c>
      <c r="H459" s="1427">
        <v>0</v>
      </c>
      <c r="I459" s="1428"/>
      <c r="J459" s="1352" t="s">
        <v>501</v>
      </c>
      <c r="K459" s="1417"/>
    </row>
    <row r="460" spans="1:11" ht="26.4">
      <c r="A460" s="618">
        <f t="shared" si="50"/>
        <v>38</v>
      </c>
      <c r="B460" s="1349">
        <v>190200</v>
      </c>
      <c r="C460" s="1349" t="s">
        <v>1810</v>
      </c>
      <c r="D460" s="1383">
        <v>21874.639999999999</v>
      </c>
      <c r="E460" s="1383">
        <v>21874.639999999999</v>
      </c>
      <c r="F460" s="1427">
        <v>0</v>
      </c>
      <c r="G460" s="1427">
        <v>0</v>
      </c>
      <c r="H460" s="1427">
        <v>0</v>
      </c>
      <c r="I460" s="1428"/>
      <c r="J460" s="1352" t="s">
        <v>502</v>
      </c>
      <c r="K460" s="1417"/>
    </row>
    <row r="461" spans="1:11" ht="26.4">
      <c r="A461" s="618">
        <f t="shared" si="50"/>
        <v>39</v>
      </c>
      <c r="B461" s="1349">
        <v>190200</v>
      </c>
      <c r="C461" s="1349" t="s">
        <v>3612</v>
      </c>
      <c r="D461" s="1383">
        <v>61287.89</v>
      </c>
      <c r="E461" s="1383">
        <v>61287.89</v>
      </c>
      <c r="F461" s="1427"/>
      <c r="G461" s="1427"/>
      <c r="H461" s="1427"/>
      <c r="I461" s="1428"/>
      <c r="J461" s="1352" t="s">
        <v>3613</v>
      </c>
      <c r="K461" s="1417"/>
    </row>
    <row r="462" spans="1:11" ht="26.4">
      <c r="A462" s="618">
        <f t="shared" si="50"/>
        <v>40</v>
      </c>
      <c r="B462" s="1349">
        <v>190200</v>
      </c>
      <c r="C462" s="1349" t="s">
        <v>1827</v>
      </c>
      <c r="D462" s="1383">
        <v>32889.949999999997</v>
      </c>
      <c r="E462" s="1383">
        <v>32889.949999999997</v>
      </c>
      <c r="F462" s="1427">
        <v>0</v>
      </c>
      <c r="G462" s="1427">
        <v>0</v>
      </c>
      <c r="H462" s="1427">
        <v>0</v>
      </c>
      <c r="I462" s="1429"/>
      <c r="J462" s="1352" t="s">
        <v>503</v>
      </c>
      <c r="K462" s="1417"/>
    </row>
    <row r="463" spans="1:11" ht="26.4">
      <c r="A463" s="618">
        <f t="shared" si="50"/>
        <v>41</v>
      </c>
      <c r="B463" s="1349">
        <v>190200</v>
      </c>
      <c r="C463" s="1430" t="s">
        <v>2858</v>
      </c>
      <c r="D463" s="1385"/>
      <c r="E463" s="1385">
        <v>0</v>
      </c>
      <c r="F463" s="1427">
        <v>0</v>
      </c>
      <c r="G463" s="1427">
        <v>0</v>
      </c>
      <c r="H463" s="1427">
        <v>0</v>
      </c>
      <c r="I463" s="1355"/>
      <c r="J463" s="1363" t="s">
        <v>2862</v>
      </c>
      <c r="K463" s="1417"/>
    </row>
    <row r="464" spans="1:11" ht="26.4">
      <c r="A464" s="618">
        <f t="shared" si="50"/>
        <v>42</v>
      </c>
      <c r="B464" s="1349">
        <v>190200</v>
      </c>
      <c r="C464" s="1430" t="s">
        <v>798</v>
      </c>
      <c r="D464" s="1385">
        <v>-143858.60999999999</v>
      </c>
      <c r="E464" s="1385">
        <v>-143858.60999999999</v>
      </c>
      <c r="F464" s="1427">
        <v>0</v>
      </c>
      <c r="G464" s="1427">
        <v>0</v>
      </c>
      <c r="H464" s="1427">
        <v>0</v>
      </c>
      <c r="I464" s="1355"/>
      <c r="J464" s="1363" t="s">
        <v>3314</v>
      </c>
      <c r="K464" s="1417"/>
    </row>
    <row r="465" spans="1:11" ht="26.4">
      <c r="A465" s="618">
        <f t="shared" si="50"/>
        <v>43</v>
      </c>
      <c r="B465" s="1349">
        <v>190200</v>
      </c>
      <c r="C465" s="1430" t="s">
        <v>1274</v>
      </c>
      <c r="D465" s="1385">
        <v>338477.05</v>
      </c>
      <c r="E465" s="1385">
        <v>338477.05</v>
      </c>
      <c r="F465" s="1427">
        <v>0</v>
      </c>
      <c r="G465" s="1427">
        <v>0</v>
      </c>
      <c r="H465" s="1427">
        <v>0</v>
      </c>
      <c r="I465" s="1355"/>
      <c r="J465" s="1363" t="s">
        <v>1055</v>
      </c>
      <c r="K465" s="1417"/>
    </row>
    <row r="466" spans="1:11" ht="26.4">
      <c r="A466" s="618">
        <f t="shared" si="50"/>
        <v>44</v>
      </c>
      <c r="B466" s="1349">
        <v>190200</v>
      </c>
      <c r="C466" s="1430" t="s">
        <v>1056</v>
      </c>
      <c r="D466" s="1383">
        <v>3456.57</v>
      </c>
      <c r="E466" s="1385">
        <v>3456.57</v>
      </c>
      <c r="F466" s="1427">
        <v>0</v>
      </c>
      <c r="G466" s="1427">
        <v>0</v>
      </c>
      <c r="H466" s="1427">
        <v>0</v>
      </c>
      <c r="I466" s="1355"/>
      <c r="J466" s="1363" t="s">
        <v>1057</v>
      </c>
      <c r="K466" s="1417"/>
    </row>
    <row r="467" spans="1:11">
      <c r="A467" s="618">
        <f t="shared" si="50"/>
        <v>45</v>
      </c>
      <c r="B467" s="1349">
        <v>190200</v>
      </c>
      <c r="C467" s="1430" t="s">
        <v>3504</v>
      </c>
      <c r="D467" s="1385">
        <v>2652340.2599999998</v>
      </c>
      <c r="E467" s="1385">
        <v>2652340.2599999998</v>
      </c>
      <c r="F467" s="1427"/>
      <c r="G467" s="1427"/>
      <c r="H467" s="1427"/>
      <c r="I467" s="1355"/>
      <c r="J467" s="1356" t="s">
        <v>3432</v>
      </c>
      <c r="K467" s="1417"/>
    </row>
    <row r="468" spans="1:11">
      <c r="A468" s="618">
        <f t="shared" si="50"/>
        <v>46</v>
      </c>
      <c r="B468" s="1349">
        <v>190200</v>
      </c>
      <c r="C468" s="1430" t="s">
        <v>3602</v>
      </c>
      <c r="D468" s="1385">
        <v>336297.51</v>
      </c>
      <c r="E468" s="1385">
        <v>336297.51</v>
      </c>
      <c r="F468" s="1427"/>
      <c r="G468" s="1427"/>
      <c r="H468" s="1427"/>
      <c r="I468" s="1355"/>
      <c r="J468" s="1356" t="s">
        <v>3603</v>
      </c>
      <c r="K468" s="1417"/>
    </row>
    <row r="469" spans="1:11">
      <c r="A469" s="618">
        <f t="shared" si="50"/>
        <v>47</v>
      </c>
      <c r="B469" s="1349">
        <v>190200</v>
      </c>
      <c r="C469" s="1430" t="s">
        <v>3505</v>
      </c>
      <c r="D469" s="1385">
        <v>2148210.5</v>
      </c>
      <c r="E469" s="1385">
        <v>2148210.5</v>
      </c>
      <c r="F469" s="1427"/>
      <c r="G469" s="1427"/>
      <c r="H469" s="1427"/>
      <c r="I469" s="1355"/>
      <c r="J469" s="1356" t="s">
        <v>3434</v>
      </c>
      <c r="K469" s="1417"/>
    </row>
    <row r="470" spans="1:11">
      <c r="A470" s="619">
        <f t="shared" si="50"/>
        <v>48</v>
      </c>
      <c r="B470" s="1349">
        <v>190200</v>
      </c>
      <c r="C470" s="1430" t="s">
        <v>3435</v>
      </c>
      <c r="D470" s="1385">
        <v>1129929.47</v>
      </c>
      <c r="E470" s="1385">
        <v>1129929.47</v>
      </c>
      <c r="F470" s="1427"/>
      <c r="G470" s="1427"/>
      <c r="H470" s="1427"/>
      <c r="I470" s="1355"/>
      <c r="J470" s="1356" t="s">
        <v>3436</v>
      </c>
    </row>
    <row r="471" spans="1:11" ht="26.4">
      <c r="A471" s="619">
        <f t="shared" si="50"/>
        <v>49</v>
      </c>
      <c r="B471" s="1349">
        <v>190200</v>
      </c>
      <c r="C471" s="1388" t="s">
        <v>3142</v>
      </c>
      <c r="D471" s="1385">
        <v>5538360.4199999999</v>
      </c>
      <c r="E471" s="1385">
        <v>5538360.4199999999</v>
      </c>
      <c r="F471" s="1427">
        <v>0</v>
      </c>
      <c r="G471" s="1427">
        <v>0</v>
      </c>
      <c r="H471" s="1427">
        <v>0</v>
      </c>
      <c r="I471" s="1355"/>
      <c r="J471" s="1352" t="s">
        <v>3192</v>
      </c>
      <c r="K471" s="1417"/>
    </row>
    <row r="472" spans="1:11" ht="26.4">
      <c r="A472" s="619">
        <f t="shared" si="50"/>
        <v>50</v>
      </c>
      <c r="B472" s="1349">
        <v>190200</v>
      </c>
      <c r="C472" s="1388" t="s">
        <v>1275</v>
      </c>
      <c r="D472" s="1385">
        <v>23683.09</v>
      </c>
      <c r="E472" s="1385">
        <v>23683.09</v>
      </c>
      <c r="F472" s="1427">
        <v>0</v>
      </c>
      <c r="G472" s="1427">
        <v>0</v>
      </c>
      <c r="H472" s="1427">
        <v>0</v>
      </c>
      <c r="I472" s="1355"/>
      <c r="J472" s="1352" t="s">
        <v>1059</v>
      </c>
      <c r="K472" s="1417"/>
    </row>
    <row r="473" spans="1:11" ht="26.4">
      <c r="A473" s="619">
        <f t="shared" si="50"/>
        <v>51</v>
      </c>
      <c r="B473" s="1349">
        <v>190200</v>
      </c>
      <c r="C473" s="1358" t="s">
        <v>1627</v>
      </c>
      <c r="D473" s="1383"/>
      <c r="E473" s="1383">
        <v>0</v>
      </c>
      <c r="F473" s="1427">
        <v>0</v>
      </c>
      <c r="G473" s="1427">
        <v>0</v>
      </c>
      <c r="H473" s="1383">
        <v>0</v>
      </c>
      <c r="I473" s="1428"/>
      <c r="J473" s="1352" t="s">
        <v>1773</v>
      </c>
      <c r="K473" s="1417"/>
    </row>
    <row r="474" spans="1:11" ht="16.95" customHeight="1">
      <c r="A474" s="619">
        <f t="shared" si="50"/>
        <v>52</v>
      </c>
      <c r="B474" s="1349">
        <v>190200</v>
      </c>
      <c r="C474" s="1349" t="s">
        <v>643</v>
      </c>
      <c r="D474" s="1383"/>
      <c r="E474" s="1383">
        <v>0</v>
      </c>
      <c r="F474" s="1427">
        <v>0</v>
      </c>
      <c r="G474" s="1427">
        <v>0</v>
      </c>
      <c r="H474" s="1383">
        <v>0</v>
      </c>
      <c r="I474" s="1428"/>
      <c r="J474" s="1352" t="s">
        <v>2599</v>
      </c>
    </row>
    <row r="475" spans="1:11" ht="16.95" customHeight="1">
      <c r="A475" s="619">
        <f t="shared" si="50"/>
        <v>53</v>
      </c>
      <c r="B475" s="1349">
        <v>190200</v>
      </c>
      <c r="C475" s="1349" t="s">
        <v>2433</v>
      </c>
      <c r="D475" s="1383">
        <v>0</v>
      </c>
      <c r="E475" s="1383">
        <v>0</v>
      </c>
      <c r="F475" s="1427">
        <v>0</v>
      </c>
      <c r="G475" s="1427">
        <v>0</v>
      </c>
      <c r="H475" s="1383">
        <v>0</v>
      </c>
      <c r="I475" s="1428"/>
      <c r="J475" s="1352" t="s">
        <v>259</v>
      </c>
    </row>
    <row r="476" spans="1:11" ht="16.95" customHeight="1">
      <c r="A476" s="619">
        <f t="shared" si="50"/>
        <v>54</v>
      </c>
      <c r="B476" s="1349">
        <v>190200</v>
      </c>
      <c r="C476" s="1349" t="s">
        <v>2961</v>
      </c>
      <c r="D476" s="1383">
        <v>23456630</v>
      </c>
      <c r="E476" s="1383">
        <v>23456630</v>
      </c>
      <c r="F476" s="1427">
        <v>0</v>
      </c>
      <c r="G476" s="1427">
        <v>0</v>
      </c>
      <c r="H476" s="1383">
        <v>0</v>
      </c>
      <c r="I476" s="1428"/>
      <c r="J476" s="1352" t="s">
        <v>2962</v>
      </c>
    </row>
    <row r="477" spans="1:11" ht="16.95" customHeight="1">
      <c r="A477" s="619">
        <f t="shared" si="50"/>
        <v>55</v>
      </c>
      <c r="B477" s="1349">
        <v>190200</v>
      </c>
      <c r="C477" s="1349" t="s">
        <v>3143</v>
      </c>
      <c r="D477" s="1383">
        <v>15694046.390000001</v>
      </c>
      <c r="E477" s="1383">
        <v>10311272.57</v>
      </c>
      <c r="F477" s="1427">
        <v>4527753.1900000004</v>
      </c>
      <c r="G477" s="1383">
        <v>17898.53</v>
      </c>
      <c r="H477" s="1383">
        <v>837122.13</v>
      </c>
      <c r="I477" s="1428"/>
      <c r="J477" s="1352" t="s">
        <v>3165</v>
      </c>
    </row>
    <row r="478" spans="1:11" ht="16.95" customHeight="1">
      <c r="A478" s="619">
        <f t="shared" si="50"/>
        <v>56</v>
      </c>
      <c r="B478" s="1349">
        <v>190200</v>
      </c>
      <c r="C478" s="1349" t="s">
        <v>3166</v>
      </c>
      <c r="D478" s="1383">
        <v>24023887.789999999</v>
      </c>
      <c r="E478" s="1383">
        <v>18797890.050000001</v>
      </c>
      <c r="F478" s="1427">
        <v>4047548.9</v>
      </c>
      <c r="G478" s="1383">
        <v>37206.1</v>
      </c>
      <c r="H478" s="1383">
        <v>1141242.56</v>
      </c>
      <c r="I478" s="1428"/>
      <c r="J478" s="1352" t="s">
        <v>3167</v>
      </c>
    </row>
    <row r="479" spans="1:11" ht="16.95" customHeight="1">
      <c r="A479" s="619">
        <f t="shared" si="50"/>
        <v>57</v>
      </c>
      <c r="B479" s="1349">
        <v>190210</v>
      </c>
      <c r="C479" s="1349" t="s">
        <v>3506</v>
      </c>
      <c r="D479" s="1383">
        <v>33444244.359999999</v>
      </c>
      <c r="E479" s="1383">
        <v>33444244.359999999</v>
      </c>
      <c r="F479" s="1427"/>
      <c r="G479" s="1383"/>
      <c r="H479" s="1383"/>
      <c r="I479" s="1428"/>
      <c r="J479" s="1352"/>
    </row>
    <row r="480" spans="1:11" ht="16.95" customHeight="1">
      <c r="A480" s="619">
        <f t="shared" si="50"/>
        <v>58</v>
      </c>
      <c r="B480" s="1349">
        <v>190300</v>
      </c>
      <c r="C480" s="1349" t="s">
        <v>3145</v>
      </c>
      <c r="D480" s="1383">
        <v>2921264.23</v>
      </c>
      <c r="E480" s="1383">
        <v>0</v>
      </c>
      <c r="F480" s="1427">
        <v>0</v>
      </c>
      <c r="G480" s="1427">
        <v>2921264.23</v>
      </c>
      <c r="H480" s="1427">
        <v>0</v>
      </c>
      <c r="I480" s="1428"/>
      <c r="J480" s="1352" t="s">
        <v>3146</v>
      </c>
    </row>
    <row r="481" spans="1:11" ht="16.95" customHeight="1">
      <c r="A481" s="619">
        <f t="shared" si="50"/>
        <v>59</v>
      </c>
      <c r="B481" s="1349">
        <v>190500</v>
      </c>
      <c r="C481" s="1349" t="s">
        <v>1235</v>
      </c>
      <c r="D481" s="1383">
        <v>2193171</v>
      </c>
      <c r="E481" s="1383">
        <v>2193171</v>
      </c>
      <c r="F481" s="1427">
        <v>0</v>
      </c>
      <c r="G481" s="1427">
        <v>0</v>
      </c>
      <c r="H481" s="1427">
        <v>0</v>
      </c>
      <c r="I481" s="1428"/>
      <c r="J481" s="1352" t="s">
        <v>1236</v>
      </c>
    </row>
    <row r="482" spans="1:11">
      <c r="A482" s="618"/>
      <c r="B482" s="1347"/>
      <c r="C482" s="1392" t="s">
        <v>504</v>
      </c>
      <c r="D482" s="1393"/>
      <c r="E482" s="1393"/>
      <c r="F482" s="1427"/>
      <c r="G482" s="1427"/>
      <c r="H482" s="1427"/>
      <c r="I482" s="1347"/>
      <c r="J482" s="1348"/>
    </row>
    <row r="483" spans="1:11">
      <c r="A483" s="619">
        <f>+A481+1</f>
        <v>60</v>
      </c>
      <c r="B483" s="1362">
        <v>190205</v>
      </c>
      <c r="C483" s="1362" t="s">
        <v>505</v>
      </c>
      <c r="D483" s="1395">
        <v>0</v>
      </c>
      <c r="E483" s="1395">
        <v>0</v>
      </c>
      <c r="F483" s="1427">
        <v>0</v>
      </c>
      <c r="G483" s="1427">
        <v>0</v>
      </c>
      <c r="H483" s="1427">
        <v>0</v>
      </c>
      <c r="I483" s="1429"/>
      <c r="J483" s="1363" t="s">
        <v>1408</v>
      </c>
    </row>
    <row r="484" spans="1:11">
      <c r="A484" s="619">
        <f>+A483+1</f>
        <v>61</v>
      </c>
      <c r="B484" s="1362">
        <v>190205</v>
      </c>
      <c r="C484" s="1362" t="s">
        <v>1828</v>
      </c>
      <c r="D484" s="1395">
        <v>4951841.79</v>
      </c>
      <c r="E484" s="1431">
        <v>4951841.79</v>
      </c>
      <c r="F484" s="1427">
        <v>0</v>
      </c>
      <c r="G484" s="1427">
        <v>0</v>
      </c>
      <c r="H484" s="1427">
        <v>0</v>
      </c>
      <c r="I484" s="1429"/>
      <c r="J484" s="1363" t="s">
        <v>1408</v>
      </c>
    </row>
    <row r="485" spans="1:11">
      <c r="A485" s="619">
        <f>+A484+1</f>
        <v>62</v>
      </c>
      <c r="B485" s="1362">
        <v>190205</v>
      </c>
      <c r="C485" s="1362" t="s">
        <v>506</v>
      </c>
      <c r="D485" s="1395">
        <v>2594618.9</v>
      </c>
      <c r="E485" s="1431">
        <v>2594618.9</v>
      </c>
      <c r="F485" s="1427">
        <v>0</v>
      </c>
      <c r="G485" s="1427">
        <v>0</v>
      </c>
      <c r="H485" s="1427">
        <v>0</v>
      </c>
      <c r="I485" s="1429"/>
      <c r="J485" s="1363" t="s">
        <v>1408</v>
      </c>
    </row>
    <row r="486" spans="1:11">
      <c r="A486" s="619">
        <f>+A485+1</f>
        <v>63</v>
      </c>
      <c r="B486" s="1362">
        <v>190205</v>
      </c>
      <c r="C486" s="1362" t="s">
        <v>263</v>
      </c>
      <c r="D486" s="1395">
        <v>0</v>
      </c>
      <c r="E486" s="1431">
        <v>0</v>
      </c>
      <c r="F486" s="1427">
        <v>0</v>
      </c>
      <c r="G486" s="1427">
        <v>0</v>
      </c>
      <c r="H486" s="1427">
        <v>0</v>
      </c>
      <c r="I486" s="1429"/>
      <c r="J486" s="1363" t="s">
        <v>1408</v>
      </c>
    </row>
    <row r="487" spans="1:11">
      <c r="A487" s="619">
        <f>+A486+1</f>
        <v>64</v>
      </c>
      <c r="B487" s="1362">
        <v>190205</v>
      </c>
      <c r="C487" s="1362" t="s">
        <v>1658</v>
      </c>
      <c r="D487" s="1395">
        <v>0</v>
      </c>
      <c r="E487" s="1431">
        <v>0</v>
      </c>
      <c r="F487" s="1427">
        <v>0</v>
      </c>
      <c r="G487" s="1427">
        <v>0</v>
      </c>
      <c r="H487" s="1427">
        <v>0</v>
      </c>
      <c r="I487" s="1429"/>
      <c r="J487" s="1363" t="s">
        <v>1408</v>
      </c>
    </row>
    <row r="488" spans="1:11">
      <c r="A488" s="619">
        <f>+A487+1</f>
        <v>65</v>
      </c>
      <c r="B488" s="1347">
        <v>190210</v>
      </c>
      <c r="C488" s="1347" t="s">
        <v>3310</v>
      </c>
      <c r="D488" s="1346">
        <v>0</v>
      </c>
      <c r="E488" s="1346">
        <v>0</v>
      </c>
      <c r="F488" s="1427">
        <v>0</v>
      </c>
      <c r="G488" s="1427">
        <v>0</v>
      </c>
      <c r="H488" s="1427">
        <v>0</v>
      </c>
      <c r="I488" s="1347"/>
      <c r="J488" s="1363" t="s">
        <v>1408</v>
      </c>
    </row>
    <row r="489" spans="1:11" ht="21" customHeight="1">
      <c r="A489" s="618"/>
      <c r="B489" s="1347"/>
      <c r="C489" s="1392" t="s">
        <v>2741</v>
      </c>
      <c r="D489" s="1346"/>
      <c r="E489" s="1346"/>
      <c r="F489" s="1339"/>
      <c r="G489" s="1339"/>
      <c r="H489" s="1339"/>
      <c r="I489" s="1347"/>
      <c r="J489" s="1348"/>
    </row>
    <row r="490" spans="1:11">
      <c r="A490" s="619">
        <f>+A488+1</f>
        <v>66</v>
      </c>
      <c r="B490" s="1362">
        <v>190601</v>
      </c>
      <c r="C490" s="1432" t="s">
        <v>3168</v>
      </c>
      <c r="D490" s="1395">
        <v>72309881.180000007</v>
      </c>
      <c r="E490" s="1395">
        <v>72309881.180000007</v>
      </c>
      <c r="F490" s="1427">
        <v>0</v>
      </c>
      <c r="G490" s="1427">
        <v>0</v>
      </c>
      <c r="H490" s="1427">
        <v>0</v>
      </c>
      <c r="I490" s="1429"/>
      <c r="J490" s="1363" t="s">
        <v>2703</v>
      </c>
    </row>
    <row r="491" spans="1:11">
      <c r="A491" s="619">
        <f>+A490+1</f>
        <v>67</v>
      </c>
      <c r="B491" s="1362">
        <v>190602</v>
      </c>
      <c r="C491" s="1432" t="s">
        <v>3169</v>
      </c>
      <c r="D491" s="1395">
        <v>0</v>
      </c>
      <c r="E491" s="1395">
        <v>0</v>
      </c>
      <c r="F491" s="1427">
        <v>0</v>
      </c>
      <c r="G491" s="1427">
        <v>0</v>
      </c>
      <c r="H491" s="1427">
        <v>0</v>
      </c>
      <c r="I491" s="1429"/>
      <c r="J491" s="1363" t="s">
        <v>2703</v>
      </c>
    </row>
    <row r="492" spans="1:11">
      <c r="A492" s="619">
        <f>+A491+1</f>
        <v>68</v>
      </c>
      <c r="B492" s="1362">
        <v>190603</v>
      </c>
      <c r="C492" s="1432" t="s">
        <v>3151</v>
      </c>
      <c r="D492" s="1395">
        <v>-2921264.23</v>
      </c>
      <c r="E492" s="1395">
        <v>-2921264.23</v>
      </c>
      <c r="F492" s="1427">
        <v>0</v>
      </c>
      <c r="G492" s="1427">
        <v>0</v>
      </c>
      <c r="H492" s="1427">
        <v>0</v>
      </c>
      <c r="I492" s="1429"/>
      <c r="J492" s="1363" t="s">
        <v>2703</v>
      </c>
    </row>
    <row r="493" spans="1:11">
      <c r="A493" s="619">
        <f>+A492+1</f>
        <v>69</v>
      </c>
      <c r="B493" s="1433">
        <v>190604</v>
      </c>
      <c r="C493" s="1359" t="s">
        <v>3152</v>
      </c>
      <c r="D493" s="1395">
        <v>-39717934.189999998</v>
      </c>
      <c r="E493" s="1395">
        <v>-39717934.189999998</v>
      </c>
      <c r="F493" s="1427">
        <v>0</v>
      </c>
      <c r="G493" s="1427">
        <v>0</v>
      </c>
      <c r="H493" s="1427">
        <v>0</v>
      </c>
      <c r="I493" s="1434"/>
      <c r="J493" s="1363" t="s">
        <v>2703</v>
      </c>
    </row>
    <row r="494" spans="1:11">
      <c r="A494" s="619">
        <f>+A493+1</f>
        <v>70</v>
      </c>
      <c r="B494" s="1433">
        <v>190200</v>
      </c>
      <c r="C494" s="1359" t="s">
        <v>3247</v>
      </c>
      <c r="D494" s="1395">
        <v>0</v>
      </c>
      <c r="E494" s="1395"/>
      <c r="F494" s="1431"/>
      <c r="G494" s="1431"/>
      <c r="H494" s="1431"/>
      <c r="I494" s="1434"/>
      <c r="J494" s="1363" t="s">
        <v>2703</v>
      </c>
    </row>
    <row r="495" spans="1:11" ht="12.75" customHeight="1">
      <c r="A495" s="504"/>
      <c r="B495" s="484"/>
      <c r="C495" s="484"/>
      <c r="D495" s="484"/>
      <c r="E495" s="484"/>
      <c r="F495" s="484"/>
      <c r="G495" s="775"/>
      <c r="H495" s="498"/>
      <c r="I495" s="484"/>
      <c r="J495" s="484"/>
    </row>
    <row r="496" spans="1:11" ht="12.75" customHeight="1">
      <c r="A496" s="504">
        <f>+A494+1</f>
        <v>71</v>
      </c>
      <c r="B496" s="506"/>
      <c r="C496" s="515" t="s">
        <v>2327</v>
      </c>
      <c r="D496" s="1366">
        <f>SUM(D414:D494)</f>
        <v>201332038.83000004</v>
      </c>
      <c r="E496" s="528">
        <f>SUM(E414:E494)</f>
        <v>177947664.43000001</v>
      </c>
      <c r="F496" s="528">
        <f>SUM(F414:F494)</f>
        <v>16556453.070000002</v>
      </c>
      <c r="G496" s="498">
        <f>SUM(G414:G494)</f>
        <v>2877691.75</v>
      </c>
      <c r="H496" s="498">
        <f>SUM(H414:H494)</f>
        <v>3950229.43</v>
      </c>
      <c r="I496" s="516"/>
      <c r="J496" s="776" t="s">
        <v>476</v>
      </c>
      <c r="K496" s="528"/>
    </row>
    <row r="497" spans="1:10" ht="12.75" customHeight="1">
      <c r="A497" s="504">
        <f>A496+1</f>
        <v>72</v>
      </c>
      <c r="B497" s="506"/>
      <c r="C497" s="512" t="s">
        <v>507</v>
      </c>
      <c r="D497" s="484"/>
      <c r="E497" s="484"/>
      <c r="F497" s="484"/>
      <c r="G497" s="498">
        <v>0</v>
      </c>
      <c r="H497" s="498">
        <v>0</v>
      </c>
      <c r="I497" s="508" t="s">
        <v>476</v>
      </c>
      <c r="J497" s="484"/>
    </row>
    <row r="498" spans="1:10" ht="12.75" customHeight="1">
      <c r="A498" s="504">
        <f>A497+1</f>
        <v>73</v>
      </c>
      <c r="B498" s="506"/>
      <c r="C498" s="512" t="s">
        <v>508</v>
      </c>
      <c r="D498" s="484"/>
      <c r="E498" s="484"/>
      <c r="F498" s="484"/>
      <c r="G498" s="498">
        <v>0</v>
      </c>
      <c r="H498" s="498">
        <v>0</v>
      </c>
      <c r="I498" s="516" t="s">
        <v>476</v>
      </c>
      <c r="J498" s="484"/>
    </row>
    <row r="499" spans="1:10" ht="12.75" customHeight="1">
      <c r="A499" s="504">
        <f>A498+1</f>
        <v>74</v>
      </c>
      <c r="B499" s="506"/>
      <c r="C499" s="512" t="s">
        <v>468</v>
      </c>
      <c r="D499" s="498">
        <f>D496-D497-D498</f>
        <v>201332038.83000004</v>
      </c>
      <c r="E499" s="498">
        <f>E496-E497-E498</f>
        <v>177947664.43000001</v>
      </c>
      <c r="F499" s="498">
        <f>F496-F497-F498</f>
        <v>16556453.070000002</v>
      </c>
      <c r="G499" s="498">
        <f>G496-G497-G498</f>
        <v>2877691.75</v>
      </c>
      <c r="H499" s="498">
        <f>H496-H497-H498</f>
        <v>3950229.43</v>
      </c>
      <c r="I499" s="484"/>
      <c r="J499" s="484"/>
    </row>
    <row r="500" spans="1:10" ht="12.75" customHeight="1">
      <c r="A500" s="504">
        <f>A499+1</f>
        <v>75</v>
      </c>
      <c r="B500" s="506"/>
      <c r="C500" s="518" t="s">
        <v>2328</v>
      </c>
      <c r="D500" s="519"/>
      <c r="E500" s="519">
        <v>0</v>
      </c>
      <c r="F500" s="519">
        <v>1</v>
      </c>
      <c r="G500" s="519">
        <f>'Wrksht. A, Other Rate Base EKC'!G519</f>
        <v>0.50821559584268561</v>
      </c>
      <c r="H500" s="519">
        <f>'Wrksht. C, Allocation Ratios'!J21</f>
        <v>0.73673230862335481</v>
      </c>
      <c r="I500" s="484"/>
      <c r="J500" s="484"/>
    </row>
    <row r="501" spans="1:10" ht="12.75" customHeight="1">
      <c r="A501" s="504">
        <f>A500+1</f>
        <v>76</v>
      </c>
      <c r="B501" s="506"/>
      <c r="C501" s="512" t="s">
        <v>468</v>
      </c>
      <c r="D501" s="484"/>
      <c r="E501" s="498">
        <f>E499*E500</f>
        <v>0</v>
      </c>
      <c r="F501" s="498">
        <f>F499*F500</f>
        <v>16556453.070000002</v>
      </c>
      <c r="G501" s="498">
        <f>G499*G500</f>
        <v>1462487.8273778306</v>
      </c>
      <c r="H501" s="498">
        <f>H499*H500</f>
        <v>2910261.6475558192</v>
      </c>
      <c r="I501" s="520">
        <f>SUM(E501:H501)</f>
        <v>20929202.544933654</v>
      </c>
      <c r="J501" s="484" t="s">
        <v>24</v>
      </c>
    </row>
    <row r="502" spans="1:10" ht="20.399999999999999">
      <c r="A502" s="1740" t="s">
        <v>3000</v>
      </c>
      <c r="B502" s="1740"/>
      <c r="C502" s="1741"/>
      <c r="D502" s="1741"/>
      <c r="E502" s="1741"/>
      <c r="F502" s="1741"/>
      <c r="G502" s="1741"/>
      <c r="H502" s="1741"/>
      <c r="I502" s="1741"/>
      <c r="J502" s="1741"/>
    </row>
    <row r="503" spans="1:10" ht="19.2">
      <c r="A503" s="1742" t="str">
        <f>A2</f>
        <v>For Contract Year Beginning June 1, 2024, Based on 2023 Data</v>
      </c>
      <c r="B503" s="1742"/>
      <c r="C503" s="1743"/>
      <c r="D503" s="1743"/>
      <c r="E503" s="1743"/>
      <c r="F503" s="1743"/>
      <c r="G503" s="1743"/>
      <c r="H503" s="1743"/>
      <c r="I503" s="1743"/>
      <c r="J503" s="1743"/>
    </row>
    <row r="504" spans="1:10" ht="12.75" customHeight="1">
      <c r="A504" s="506"/>
      <c r="B504" s="506"/>
      <c r="C504" s="484"/>
      <c r="D504" s="484"/>
      <c r="E504" s="484"/>
      <c r="F504" s="484"/>
      <c r="G504" s="484"/>
      <c r="H504" s="507"/>
      <c r="I504" s="484"/>
      <c r="J504" s="484"/>
    </row>
    <row r="505" spans="1:10">
      <c r="A505" s="485"/>
      <c r="B505" s="485"/>
      <c r="C505" s="487"/>
      <c r="D505" s="763" t="s">
        <v>480</v>
      </c>
      <c r="E505" s="763" t="s">
        <v>481</v>
      </c>
      <c r="F505" s="763" t="s">
        <v>482</v>
      </c>
      <c r="G505" s="763" t="s">
        <v>483</v>
      </c>
      <c r="H505" s="763" t="s">
        <v>484</v>
      </c>
      <c r="I505" s="763" t="s">
        <v>884</v>
      </c>
      <c r="J505" s="763" t="s">
        <v>485</v>
      </c>
    </row>
    <row r="506" spans="1:10" ht="12.75" customHeight="1">
      <c r="A506" s="506"/>
      <c r="B506" s="506"/>
      <c r="C506" s="507"/>
      <c r="D506" s="511"/>
      <c r="E506" s="774">
        <v>1</v>
      </c>
      <c r="F506" s="774">
        <v>1</v>
      </c>
      <c r="G506" s="764"/>
      <c r="H506" s="764"/>
      <c r="I506" s="764" t="s">
        <v>468</v>
      </c>
      <c r="J506" s="764" t="s">
        <v>476</v>
      </c>
    </row>
    <row r="507" spans="1:10" ht="12.75" customHeight="1">
      <c r="A507" s="506"/>
      <c r="B507" s="506"/>
      <c r="C507" s="522"/>
      <c r="D507" s="609" t="s">
        <v>476</v>
      </c>
      <c r="E507" s="764" t="s">
        <v>1231</v>
      </c>
      <c r="F507" s="764" t="s">
        <v>1232</v>
      </c>
      <c r="G507" s="764" t="s">
        <v>477</v>
      </c>
      <c r="H507" s="764" t="s">
        <v>478</v>
      </c>
      <c r="I507" s="764" t="s">
        <v>1079</v>
      </c>
      <c r="J507" s="764" t="s">
        <v>486</v>
      </c>
    </row>
    <row r="508" spans="1:10" ht="12.75" customHeight="1">
      <c r="A508" s="506"/>
      <c r="B508" s="506"/>
      <c r="C508" s="484"/>
      <c r="D508" s="764" t="s">
        <v>487</v>
      </c>
      <c r="E508" s="764" t="s">
        <v>479</v>
      </c>
      <c r="F508" s="764" t="s">
        <v>479</v>
      </c>
      <c r="G508" s="764" t="s">
        <v>479</v>
      </c>
      <c r="H508" s="764" t="s">
        <v>479</v>
      </c>
      <c r="I508" s="764" t="s">
        <v>299</v>
      </c>
      <c r="J508" s="764" t="s">
        <v>300</v>
      </c>
    </row>
    <row r="509" spans="1:10" ht="12.75" customHeight="1">
      <c r="A509" s="499" t="s">
        <v>531</v>
      </c>
      <c r="B509" s="500" t="s">
        <v>1078</v>
      </c>
      <c r="C509" s="501" t="s">
        <v>880</v>
      </c>
      <c r="D509" s="503"/>
      <c r="E509" s="503"/>
      <c r="F509" s="503"/>
      <c r="G509" s="503"/>
      <c r="H509" s="503"/>
      <c r="I509" s="503"/>
      <c r="J509" s="503"/>
    </row>
    <row r="510" spans="1:10" ht="12.75" customHeight="1">
      <c r="A510" s="504" t="s">
        <v>476</v>
      </c>
      <c r="B510" s="500"/>
      <c r="C510" s="523" t="s">
        <v>58</v>
      </c>
      <c r="D510" s="503"/>
      <c r="E510" s="503"/>
      <c r="F510" s="503"/>
      <c r="G510" s="503"/>
      <c r="H510" s="503"/>
      <c r="I510" s="503"/>
      <c r="J510" s="503"/>
    </row>
    <row r="511" spans="1:10">
      <c r="A511" s="618">
        <v>1</v>
      </c>
      <c r="B511" s="1364">
        <v>281100</v>
      </c>
      <c r="C511" s="1349" t="s">
        <v>1829</v>
      </c>
      <c r="D511" s="1435">
        <v>18499410</v>
      </c>
      <c r="E511" s="1383">
        <v>0</v>
      </c>
      <c r="F511" s="1383">
        <v>18499410</v>
      </c>
      <c r="G511" s="1383">
        <v>0</v>
      </c>
      <c r="H511" s="1383">
        <v>0</v>
      </c>
      <c r="I511" s="1436"/>
      <c r="J511" s="1352" t="s">
        <v>3153</v>
      </c>
    </row>
    <row r="512" spans="1:10" ht="12.75" customHeight="1">
      <c r="A512" s="504" t="s">
        <v>476</v>
      </c>
      <c r="B512" s="768"/>
      <c r="C512" s="777"/>
      <c r="D512" s="1195"/>
      <c r="E512" s="1195"/>
      <c r="F512" s="1195"/>
      <c r="G512" s="1195"/>
      <c r="H512" s="1195"/>
      <c r="I512" s="1195"/>
      <c r="J512" s="1195"/>
    </row>
    <row r="513" spans="1:11" ht="12.75" customHeight="1">
      <c r="A513" s="504">
        <f>A511+1</f>
        <v>2</v>
      </c>
      <c r="B513" s="768"/>
      <c r="C513" s="515" t="s">
        <v>2327</v>
      </c>
      <c r="D513" s="1366">
        <f>D511</f>
        <v>18499410</v>
      </c>
      <c r="E513" s="508">
        <f>E511</f>
        <v>0</v>
      </c>
      <c r="F513" s="508">
        <f>F511</f>
        <v>18499410</v>
      </c>
      <c r="G513" s="508">
        <f>G511</f>
        <v>0</v>
      </c>
      <c r="H513" s="508">
        <f>H511</f>
        <v>0</v>
      </c>
      <c r="I513" s="516"/>
      <c r="J513" s="484"/>
      <c r="K513" s="528"/>
    </row>
    <row r="514" spans="1:11" ht="12.75" customHeight="1">
      <c r="A514" s="504">
        <f>A513+1</f>
        <v>3</v>
      </c>
      <c r="B514" s="768"/>
      <c r="C514" s="512" t="s">
        <v>507</v>
      </c>
      <c r="D514" s="484"/>
      <c r="E514" s="484"/>
      <c r="F514" s="484"/>
      <c r="G514" s="498"/>
      <c r="H514" s="498"/>
      <c r="I514" s="484"/>
      <c r="J514" s="484"/>
    </row>
    <row r="515" spans="1:11" ht="12.75" customHeight="1">
      <c r="A515" s="504">
        <f>A514+1</f>
        <v>4</v>
      </c>
      <c r="B515" s="768"/>
      <c r="C515" s="512" t="s">
        <v>508</v>
      </c>
      <c r="D515" s="484"/>
      <c r="E515" s="484"/>
      <c r="F515" s="484"/>
      <c r="G515" s="498"/>
      <c r="H515" s="498"/>
      <c r="I515" s="484"/>
      <c r="J515" s="484"/>
    </row>
    <row r="516" spans="1:11" ht="12.75" customHeight="1">
      <c r="A516" s="504">
        <f>A515+1</f>
        <v>5</v>
      </c>
      <c r="B516" s="768"/>
      <c r="C516" s="512" t="s">
        <v>468</v>
      </c>
      <c r="D516" s="498">
        <f>D513-D514-D515</f>
        <v>18499410</v>
      </c>
      <c r="E516" s="498">
        <f>E513-E514-E515</f>
        <v>0</v>
      </c>
      <c r="F516" s="498">
        <f>F513-F514-F515</f>
        <v>18499410</v>
      </c>
      <c r="G516" s="498">
        <f>G513-G514-G515</f>
        <v>0</v>
      </c>
      <c r="H516" s="498">
        <f>H513-H514-H515</f>
        <v>0</v>
      </c>
      <c r="I516" s="484"/>
      <c r="J516" s="484"/>
    </row>
    <row r="517" spans="1:11" ht="12.75" customHeight="1">
      <c r="A517" s="504">
        <f>A516+1</f>
        <v>6</v>
      </c>
      <c r="B517" s="768"/>
      <c r="C517" s="518" t="s">
        <v>2328</v>
      </c>
      <c r="D517" s="498"/>
      <c r="E517" s="519">
        <f>E500</f>
        <v>0</v>
      </c>
      <c r="F517" s="519">
        <f>F500</f>
        <v>1</v>
      </c>
      <c r="G517" s="519">
        <f>G500</f>
        <v>0.50821559584268561</v>
      </c>
      <c r="H517" s="519">
        <f>H500</f>
        <v>0.73673230862335481</v>
      </c>
      <c r="I517" s="484"/>
      <c r="J517" s="484"/>
    </row>
    <row r="518" spans="1:11" ht="12.75" customHeight="1">
      <c r="A518" s="504">
        <f>A517+1</f>
        <v>7</v>
      </c>
      <c r="B518" s="768"/>
      <c r="C518" s="512" t="s">
        <v>468</v>
      </c>
      <c r="D518" s="484"/>
      <c r="E518" s="498">
        <f>E516*E517</f>
        <v>0</v>
      </c>
      <c r="F518" s="498">
        <f>F516*F517</f>
        <v>18499410</v>
      </c>
      <c r="G518" s="498">
        <f>G516*G517</f>
        <v>0</v>
      </c>
      <c r="H518" s="498">
        <f>H516*H517</f>
        <v>0</v>
      </c>
      <c r="I518" s="520">
        <f>SUM(E518:H518)</f>
        <v>18499410</v>
      </c>
      <c r="J518" s="484" t="s">
        <v>24</v>
      </c>
    </row>
    <row r="519" spans="1:11" ht="12.75" customHeight="1">
      <c r="A519" s="499"/>
      <c r="B519" s="768"/>
      <c r="C519" s="777"/>
      <c r="D519" s="1195"/>
      <c r="E519" s="1195"/>
      <c r="F519" s="1195"/>
      <c r="G519" s="1195"/>
      <c r="H519" s="1195"/>
      <c r="I519" s="1195"/>
      <c r="J519" s="1195"/>
    </row>
    <row r="520" spans="1:11" ht="12.75" customHeight="1">
      <c r="A520" s="504"/>
      <c r="B520" s="778"/>
      <c r="C520" s="779" t="s">
        <v>509</v>
      </c>
      <c r="D520" s="780"/>
      <c r="E520" s="780"/>
      <c r="F520" s="780"/>
      <c r="G520" s="781"/>
      <c r="H520" s="781"/>
      <c r="I520" s="780"/>
      <c r="J520" s="780"/>
    </row>
    <row r="521" spans="1:11">
      <c r="A521" s="618">
        <v>1</v>
      </c>
      <c r="B521" s="1437">
        <v>282611</v>
      </c>
      <c r="C521" s="1438" t="s">
        <v>3438</v>
      </c>
      <c r="D521" s="1439">
        <v>2449951.37</v>
      </c>
      <c r="E521" s="1383">
        <v>19748.53</v>
      </c>
      <c r="F521" s="1383">
        <v>2430202.84</v>
      </c>
      <c r="G521" s="1383">
        <v>0</v>
      </c>
      <c r="H521" s="1383">
        <v>0</v>
      </c>
      <c r="I521" s="1428"/>
      <c r="J521" s="1356" t="s">
        <v>3439</v>
      </c>
      <c r="K521" s="1417"/>
    </row>
    <row r="522" spans="1:11" ht="26.4">
      <c r="A522" s="618">
        <f>+A521+1</f>
        <v>2</v>
      </c>
      <c r="B522" s="1437">
        <v>282611</v>
      </c>
      <c r="C522" s="1438" t="s">
        <v>3507</v>
      </c>
      <c r="D522" s="1439">
        <v>751383.25</v>
      </c>
      <c r="E522" s="1383">
        <v>751383.25</v>
      </c>
      <c r="F522" s="1383">
        <v>0</v>
      </c>
      <c r="G522" s="1383">
        <v>0</v>
      </c>
      <c r="H522" s="1383">
        <v>0</v>
      </c>
      <c r="I522" s="1428"/>
      <c r="J522" s="1440" t="s">
        <v>3508</v>
      </c>
      <c r="K522" s="1417"/>
    </row>
    <row r="523" spans="1:11">
      <c r="A523" s="618">
        <f t="shared" ref="A523:A565" si="51">+A522+1</f>
        <v>3</v>
      </c>
      <c r="B523" s="1437">
        <v>282611</v>
      </c>
      <c r="C523" s="1438" t="s">
        <v>3509</v>
      </c>
      <c r="D523" s="1439">
        <v>-2980339.61</v>
      </c>
      <c r="E523" s="1383">
        <v>-2118206.7000000002</v>
      </c>
      <c r="F523" s="1383">
        <v>-726170.55</v>
      </c>
      <c r="G523" s="1383">
        <v>-135962.35999999999</v>
      </c>
      <c r="H523" s="1383">
        <v>0</v>
      </c>
      <c r="I523" s="1428"/>
      <c r="J523" s="1356" t="s">
        <v>3441</v>
      </c>
      <c r="K523" s="1417"/>
    </row>
    <row r="524" spans="1:11" ht="26.4">
      <c r="A524" s="618">
        <f t="shared" si="51"/>
        <v>4</v>
      </c>
      <c r="B524" s="1437">
        <v>282611</v>
      </c>
      <c r="C524" s="1438" t="s">
        <v>3442</v>
      </c>
      <c r="D524" s="1439">
        <v>522640.06</v>
      </c>
      <c r="E524" s="1383">
        <v>335084.26</v>
      </c>
      <c r="F524" s="1383">
        <v>160256.73000000001</v>
      </c>
      <c r="G524" s="1383">
        <v>27299.07</v>
      </c>
      <c r="H524" s="1383">
        <v>0</v>
      </c>
      <c r="I524" s="1428"/>
      <c r="J524" s="1356" t="s">
        <v>3443</v>
      </c>
      <c r="K524" s="1417"/>
    </row>
    <row r="525" spans="1:11">
      <c r="A525" s="618">
        <f t="shared" si="51"/>
        <v>5</v>
      </c>
      <c r="B525" s="1437">
        <v>282611</v>
      </c>
      <c r="C525" s="1438" t="s">
        <v>3444</v>
      </c>
      <c r="D525" s="1439">
        <v>-12502.98</v>
      </c>
      <c r="E525" s="1383">
        <v>0</v>
      </c>
      <c r="F525" s="1383">
        <v>0</v>
      </c>
      <c r="G525" s="1383">
        <v>0</v>
      </c>
      <c r="H525" s="1383">
        <v>-12502.98</v>
      </c>
      <c r="I525" s="1428"/>
      <c r="J525" s="1356" t="s">
        <v>3445</v>
      </c>
      <c r="K525" s="1417"/>
    </row>
    <row r="526" spans="1:11">
      <c r="A526" s="618">
        <f t="shared" si="51"/>
        <v>6</v>
      </c>
      <c r="B526" s="1437">
        <v>282611</v>
      </c>
      <c r="C526" s="1438" t="s">
        <v>3446</v>
      </c>
      <c r="D526" s="1439">
        <v>13596940.789999999</v>
      </c>
      <c r="E526" s="1383">
        <v>0</v>
      </c>
      <c r="F526" s="1383">
        <v>0</v>
      </c>
      <c r="G526" s="1383">
        <v>13596940.789999999</v>
      </c>
      <c r="H526" s="1383">
        <v>0</v>
      </c>
      <c r="I526" s="1428"/>
      <c r="J526" s="1356" t="s">
        <v>3447</v>
      </c>
      <c r="K526" s="1417"/>
    </row>
    <row r="527" spans="1:11">
      <c r="A527" s="618">
        <f t="shared" si="51"/>
        <v>7</v>
      </c>
      <c r="B527" s="1437">
        <v>282611</v>
      </c>
      <c r="C527" s="1438" t="s">
        <v>3510</v>
      </c>
      <c r="D527" s="1439">
        <v>220691.24</v>
      </c>
      <c r="E527" s="1383">
        <v>85.18</v>
      </c>
      <c r="F527" s="1383">
        <v>220606.06</v>
      </c>
      <c r="G527" s="1383">
        <v>0</v>
      </c>
      <c r="H527" s="1383">
        <v>0</v>
      </c>
      <c r="I527" s="1428"/>
      <c r="J527" s="1440" t="s">
        <v>3511</v>
      </c>
      <c r="K527" s="1417"/>
    </row>
    <row r="528" spans="1:11" ht="26.4">
      <c r="A528" s="618">
        <f t="shared" si="51"/>
        <v>8</v>
      </c>
      <c r="B528" s="1437">
        <v>282611</v>
      </c>
      <c r="C528" s="1438" t="s">
        <v>3448</v>
      </c>
      <c r="D528" s="1439">
        <v>102996.58</v>
      </c>
      <c r="E528" s="1383">
        <v>0</v>
      </c>
      <c r="F528" s="1383">
        <v>87038.78</v>
      </c>
      <c r="G528" s="1383">
        <v>15957.8</v>
      </c>
      <c r="H528" s="1383">
        <v>0</v>
      </c>
      <c r="I528" s="1428"/>
      <c r="J528" s="1356" t="s">
        <v>3449</v>
      </c>
      <c r="K528" s="1417"/>
    </row>
    <row r="529" spans="1:11" ht="26.4">
      <c r="A529" s="618">
        <f t="shared" si="51"/>
        <v>9</v>
      </c>
      <c r="B529" s="1437">
        <v>282611</v>
      </c>
      <c r="C529" s="1438" t="s">
        <v>3512</v>
      </c>
      <c r="D529" s="1439">
        <v>124778.84</v>
      </c>
      <c r="E529" s="1383">
        <v>40.83</v>
      </c>
      <c r="F529" s="1383">
        <v>124738.01</v>
      </c>
      <c r="G529" s="1383">
        <v>0</v>
      </c>
      <c r="H529" s="1383">
        <v>0</v>
      </c>
      <c r="I529" s="1428"/>
      <c r="J529" s="1440" t="s">
        <v>3513</v>
      </c>
      <c r="K529" s="1417"/>
    </row>
    <row r="530" spans="1:11" ht="26.4">
      <c r="A530" s="618">
        <f t="shared" si="51"/>
        <v>10</v>
      </c>
      <c r="B530" s="1437">
        <v>282611</v>
      </c>
      <c r="C530" s="1438" t="s">
        <v>3450</v>
      </c>
      <c r="D530" s="1439">
        <v>51.56</v>
      </c>
      <c r="E530" s="1383">
        <v>0</v>
      </c>
      <c r="F530" s="1383">
        <v>0</v>
      </c>
      <c r="G530" s="1383">
        <v>51.56</v>
      </c>
      <c r="H530" s="1383">
        <v>0</v>
      </c>
      <c r="I530" s="1428"/>
      <c r="J530" s="1356" t="s">
        <v>3451</v>
      </c>
      <c r="K530" s="1417"/>
    </row>
    <row r="531" spans="1:11">
      <c r="A531" s="618">
        <f t="shared" si="51"/>
        <v>11</v>
      </c>
      <c r="B531" s="1437">
        <v>282611</v>
      </c>
      <c r="C531" s="1438" t="s">
        <v>3452</v>
      </c>
      <c r="D531" s="1439">
        <v>-8386818.1600000001</v>
      </c>
      <c r="E531" s="1383">
        <v>-8386818.1600000001</v>
      </c>
      <c r="F531" s="1383">
        <v>0</v>
      </c>
      <c r="G531" s="1383">
        <v>0</v>
      </c>
      <c r="H531" s="1383">
        <v>0</v>
      </c>
      <c r="I531" s="1428"/>
      <c r="J531" s="1440"/>
      <c r="K531" s="1417"/>
    </row>
    <row r="532" spans="1:11">
      <c r="A532" s="618">
        <f t="shared" si="51"/>
        <v>12</v>
      </c>
      <c r="B532" s="1437">
        <v>282611</v>
      </c>
      <c r="C532" s="1438" t="s">
        <v>3514</v>
      </c>
      <c r="D532" s="1439">
        <v>140028.13</v>
      </c>
      <c r="E532" s="1383">
        <v>18226.89</v>
      </c>
      <c r="F532" s="1383">
        <v>121801.24</v>
      </c>
      <c r="G532" s="1383">
        <v>0</v>
      </c>
      <c r="H532" s="1383">
        <v>0</v>
      </c>
      <c r="I532" s="1428"/>
      <c r="J532" s="1440" t="s">
        <v>3515</v>
      </c>
      <c r="K532" s="1417"/>
    </row>
    <row r="533" spans="1:11" ht="26.4">
      <c r="A533" s="618">
        <f t="shared" si="51"/>
        <v>13</v>
      </c>
      <c r="B533" s="1437">
        <v>282611</v>
      </c>
      <c r="C533" s="1438" t="s">
        <v>3516</v>
      </c>
      <c r="D533" s="1439">
        <v>731205812.94000006</v>
      </c>
      <c r="E533" s="1383">
        <v>387387464.11000001</v>
      </c>
      <c r="F533" s="1383">
        <v>323752396.05000001</v>
      </c>
      <c r="G533" s="1383">
        <v>20065952.780000001</v>
      </c>
      <c r="H533" s="1383">
        <v>0</v>
      </c>
      <c r="I533" s="1428"/>
      <c r="J533" s="1356" t="s">
        <v>3459</v>
      </c>
      <c r="K533" s="1417"/>
    </row>
    <row r="534" spans="1:11">
      <c r="A534" s="618">
        <f t="shared" si="51"/>
        <v>14</v>
      </c>
      <c r="B534" s="1437">
        <v>282611</v>
      </c>
      <c r="C534" s="1438" t="s">
        <v>3461</v>
      </c>
      <c r="D534" s="1439">
        <v>2843969.46</v>
      </c>
      <c r="E534" s="1383">
        <v>256403.19</v>
      </c>
      <c r="F534" s="1383">
        <v>3114760.44</v>
      </c>
      <c r="G534" s="1383">
        <v>-527194.17000000004</v>
      </c>
      <c r="H534" s="1383">
        <v>0</v>
      </c>
      <c r="I534" s="1428"/>
      <c r="J534" s="1440"/>
      <c r="K534" s="1417"/>
    </row>
    <row r="535" spans="1:11">
      <c r="A535" s="618">
        <f t="shared" si="51"/>
        <v>15</v>
      </c>
      <c r="B535" s="1437">
        <v>282611</v>
      </c>
      <c r="C535" s="1438" t="s">
        <v>3462</v>
      </c>
      <c r="D535" s="1439">
        <v>550466.87</v>
      </c>
      <c r="E535" s="1383">
        <v>206841.96</v>
      </c>
      <c r="F535" s="1383">
        <v>340558.69</v>
      </c>
      <c r="G535" s="1383">
        <v>3066.22</v>
      </c>
      <c r="H535" s="1383">
        <v>0</v>
      </c>
      <c r="I535" s="1428"/>
      <c r="J535" s="1356" t="s">
        <v>3439</v>
      </c>
      <c r="K535" s="1417"/>
    </row>
    <row r="536" spans="1:11">
      <c r="A536" s="618">
        <f t="shared" si="51"/>
        <v>16</v>
      </c>
      <c r="B536" s="1437">
        <v>282611</v>
      </c>
      <c r="C536" s="1438" t="s">
        <v>927</v>
      </c>
      <c r="D536" s="1439">
        <v>532030.02</v>
      </c>
      <c r="E536" s="1383">
        <v>244274.23</v>
      </c>
      <c r="F536" s="1383">
        <v>280808.78000000003</v>
      </c>
      <c r="G536" s="1383">
        <v>6947.01</v>
      </c>
      <c r="H536" s="1383">
        <v>0</v>
      </c>
      <c r="I536" s="1428"/>
      <c r="J536" s="1356" t="s">
        <v>3439</v>
      </c>
      <c r="K536" s="1417"/>
    </row>
    <row r="537" spans="1:11">
      <c r="A537" s="618">
        <f t="shared" si="51"/>
        <v>17</v>
      </c>
      <c r="B537" s="1437">
        <v>282611</v>
      </c>
      <c r="C537" s="1438" t="s">
        <v>3607</v>
      </c>
      <c r="D537" s="1439">
        <v>2470642.33</v>
      </c>
      <c r="E537" s="1383">
        <v>0</v>
      </c>
      <c r="F537" s="1383">
        <v>2470642.33</v>
      </c>
      <c r="G537" s="1383">
        <v>0</v>
      </c>
      <c r="H537" s="1383">
        <v>0</v>
      </c>
      <c r="I537" s="1428"/>
      <c r="J537" s="1440"/>
      <c r="K537" s="1417"/>
    </row>
    <row r="538" spans="1:11">
      <c r="A538" s="618">
        <f t="shared" si="51"/>
        <v>18</v>
      </c>
      <c r="B538" s="1437">
        <v>282611</v>
      </c>
      <c r="C538" s="1438" t="s">
        <v>3608</v>
      </c>
      <c r="D538" s="1439">
        <v>109880.65</v>
      </c>
      <c r="E538" s="1383">
        <v>0</v>
      </c>
      <c r="F538" s="1383">
        <v>0</v>
      </c>
      <c r="G538" s="1383">
        <v>109880.65</v>
      </c>
      <c r="H538" s="1383">
        <v>0</v>
      </c>
      <c r="I538" s="1428"/>
      <c r="J538" s="1440"/>
      <c r="K538" s="1417"/>
    </row>
    <row r="539" spans="1:11">
      <c r="A539" s="618">
        <f t="shared" si="51"/>
        <v>19</v>
      </c>
      <c r="B539" s="1437">
        <v>282611</v>
      </c>
      <c r="C539" s="1438" t="s">
        <v>3609</v>
      </c>
      <c r="D539" s="1439">
        <v>-2416152.14</v>
      </c>
      <c r="E539" s="1383">
        <v>0</v>
      </c>
      <c r="F539" s="1383">
        <v>0</v>
      </c>
      <c r="G539" s="1383">
        <v>-2416152.14</v>
      </c>
      <c r="H539" s="1383">
        <v>0</v>
      </c>
      <c r="I539" s="1428"/>
      <c r="J539" s="1356"/>
      <c r="K539" s="1417"/>
    </row>
    <row r="540" spans="1:11" ht="26.4">
      <c r="A540" s="618">
        <f t="shared" si="51"/>
        <v>20</v>
      </c>
      <c r="B540" s="1437">
        <v>282611</v>
      </c>
      <c r="C540" s="1438" t="s">
        <v>3464</v>
      </c>
      <c r="D540" s="1439">
        <v>702246.6</v>
      </c>
      <c r="E540" s="1383">
        <v>0</v>
      </c>
      <c r="F540" s="1383">
        <v>702246.6</v>
      </c>
      <c r="G540" s="1383">
        <v>0</v>
      </c>
      <c r="H540" s="1383">
        <v>0</v>
      </c>
      <c r="I540" s="1428"/>
      <c r="J540" s="1440" t="s">
        <v>3465</v>
      </c>
      <c r="K540" s="1417"/>
    </row>
    <row r="541" spans="1:11">
      <c r="A541" s="618">
        <f t="shared" si="51"/>
        <v>21</v>
      </c>
      <c r="B541" s="1437">
        <v>282611</v>
      </c>
      <c r="C541" s="1438" t="s">
        <v>3517</v>
      </c>
      <c r="D541" s="1439">
        <v>6080312.1100000003</v>
      </c>
      <c r="E541" s="1383">
        <v>0</v>
      </c>
      <c r="F541" s="1383">
        <v>6311238.9699999997</v>
      </c>
      <c r="G541" s="1383">
        <v>-230926.86</v>
      </c>
      <c r="H541" s="1383">
        <v>0</v>
      </c>
      <c r="I541" s="1428"/>
      <c r="J541" s="1356" t="s">
        <v>3518</v>
      </c>
      <c r="K541" s="1417"/>
    </row>
    <row r="542" spans="1:11">
      <c r="A542" s="618">
        <f t="shared" si="51"/>
        <v>22</v>
      </c>
      <c r="B542" s="1437">
        <v>282611</v>
      </c>
      <c r="C542" s="1438" t="s">
        <v>3466</v>
      </c>
      <c r="D542" s="1439">
        <v>577628.22</v>
      </c>
      <c r="E542" s="1383">
        <v>0</v>
      </c>
      <c r="F542" s="1383">
        <v>577628.22</v>
      </c>
      <c r="G542" s="1383">
        <v>0</v>
      </c>
      <c r="H542" s="1383">
        <v>0</v>
      </c>
      <c r="I542" s="1428"/>
      <c r="J542" s="1356" t="s">
        <v>3467</v>
      </c>
      <c r="K542" s="1417"/>
    </row>
    <row r="543" spans="1:11">
      <c r="A543" s="618">
        <f t="shared" si="51"/>
        <v>23</v>
      </c>
      <c r="B543" s="1437">
        <v>282611</v>
      </c>
      <c r="C543" s="1438" t="s">
        <v>3519</v>
      </c>
      <c r="D543" s="1439">
        <v>-41418.68</v>
      </c>
      <c r="E543" s="1383">
        <v>0</v>
      </c>
      <c r="F543" s="1383">
        <v>-41418.68</v>
      </c>
      <c r="G543" s="1383">
        <v>0</v>
      </c>
      <c r="H543" s="1383">
        <v>0</v>
      </c>
      <c r="I543" s="1428"/>
      <c r="J543" s="1356" t="s">
        <v>3520</v>
      </c>
      <c r="K543" s="1417"/>
    </row>
    <row r="544" spans="1:11" ht="26.4">
      <c r="A544" s="618">
        <f t="shared" si="51"/>
        <v>24</v>
      </c>
      <c r="B544" s="1437">
        <v>282611</v>
      </c>
      <c r="C544" s="1438" t="s">
        <v>3468</v>
      </c>
      <c r="D544" s="1439">
        <v>5324225.49</v>
      </c>
      <c r="E544" s="1383">
        <v>4066692.87</v>
      </c>
      <c r="F544" s="1383">
        <v>1257464.1399999999</v>
      </c>
      <c r="G544" s="1383">
        <v>68.48</v>
      </c>
      <c r="H544" s="1383">
        <v>0</v>
      </c>
      <c r="I544" s="1428"/>
      <c r="J544" s="1356" t="s">
        <v>3469</v>
      </c>
      <c r="K544" s="1417"/>
    </row>
    <row r="545" spans="1:13" ht="26.4">
      <c r="A545" s="618">
        <f t="shared" si="51"/>
        <v>25</v>
      </c>
      <c r="B545" s="1437">
        <v>282611</v>
      </c>
      <c r="C545" s="1438" t="s">
        <v>3470</v>
      </c>
      <c r="D545" s="1439">
        <v>1110153.3400000001</v>
      </c>
      <c r="E545" s="1383">
        <v>1072944.24</v>
      </c>
      <c r="F545" s="1383">
        <v>37117.53</v>
      </c>
      <c r="G545" s="1383">
        <v>91.57</v>
      </c>
      <c r="H545" s="1383">
        <v>0</v>
      </c>
      <c r="I545" s="1428"/>
      <c r="J545" s="1356" t="s">
        <v>3469</v>
      </c>
      <c r="K545" s="1417"/>
    </row>
    <row r="546" spans="1:13" ht="26.4">
      <c r="A546" s="618">
        <f t="shared" si="51"/>
        <v>26</v>
      </c>
      <c r="B546" s="1437">
        <v>282611</v>
      </c>
      <c r="C546" s="1438" t="s">
        <v>3472</v>
      </c>
      <c r="D546" s="1439">
        <v>55827985.490000002</v>
      </c>
      <c r="E546" s="1383">
        <v>30894376.07</v>
      </c>
      <c r="F546" s="1383">
        <v>24935085.039999999</v>
      </c>
      <c r="G546" s="1383">
        <v>-1475.62</v>
      </c>
      <c r="H546" s="1383">
        <v>0</v>
      </c>
      <c r="I546" s="1428"/>
      <c r="J546" s="1356" t="s">
        <v>3473</v>
      </c>
      <c r="K546" s="1417"/>
    </row>
    <row r="547" spans="1:13">
      <c r="A547" s="618">
        <f t="shared" si="51"/>
        <v>27</v>
      </c>
      <c r="B547" s="1437">
        <v>282611</v>
      </c>
      <c r="C547" s="1438" t="s">
        <v>3474</v>
      </c>
      <c r="D547" s="1439">
        <v>36371426.689999998</v>
      </c>
      <c r="E547" s="1383">
        <v>11350850.809999999</v>
      </c>
      <c r="F547" s="1383">
        <v>24750692.760000002</v>
      </c>
      <c r="G547" s="1383">
        <v>269883.12</v>
      </c>
      <c r="H547" s="1383">
        <v>0</v>
      </c>
      <c r="I547" s="1428"/>
      <c r="J547" s="1356" t="s">
        <v>3475</v>
      </c>
      <c r="K547" s="1417"/>
    </row>
    <row r="548" spans="1:13" ht="26.4">
      <c r="A548" s="618">
        <f t="shared" si="51"/>
        <v>28</v>
      </c>
      <c r="B548" s="1437">
        <v>282611</v>
      </c>
      <c r="C548" s="1438" t="s">
        <v>3476</v>
      </c>
      <c r="D548" s="1439">
        <v>-3027261.02</v>
      </c>
      <c r="E548" s="1383">
        <v>-1689903.8199999998</v>
      </c>
      <c r="F548" s="1383">
        <v>-1337357.2</v>
      </c>
      <c r="G548" s="1383">
        <v>0</v>
      </c>
      <c r="H548" s="1383">
        <v>0</v>
      </c>
      <c r="I548" s="1428"/>
      <c r="J548" s="1356" t="s">
        <v>3477</v>
      </c>
      <c r="K548" s="1417"/>
    </row>
    <row r="549" spans="1:13" ht="26.4">
      <c r="A549" s="618">
        <f t="shared" si="51"/>
        <v>29</v>
      </c>
      <c r="B549" s="1437">
        <v>282611</v>
      </c>
      <c r="C549" s="1438" t="s">
        <v>3478</v>
      </c>
      <c r="D549" s="1439">
        <v>-215912.75</v>
      </c>
      <c r="E549" s="1383">
        <v>0</v>
      </c>
      <c r="F549" s="1383">
        <v>-215912.75</v>
      </c>
      <c r="G549" s="1383">
        <v>0</v>
      </c>
      <c r="H549" s="1383">
        <v>0</v>
      </c>
      <c r="I549" s="1428"/>
      <c r="J549" s="1356" t="s">
        <v>3479</v>
      </c>
      <c r="K549" s="1417"/>
    </row>
    <row r="550" spans="1:13" ht="26.4">
      <c r="A550" s="618">
        <f t="shared" si="51"/>
        <v>30</v>
      </c>
      <c r="B550" s="1437">
        <v>282611</v>
      </c>
      <c r="C550" s="1438" t="s">
        <v>3480</v>
      </c>
      <c r="D550" s="1439">
        <v>121711.67</v>
      </c>
      <c r="E550" s="1383">
        <v>95777.91</v>
      </c>
      <c r="F550" s="1383">
        <v>25932.959999999999</v>
      </c>
      <c r="G550" s="1383">
        <v>0.8</v>
      </c>
      <c r="H550" s="1383">
        <v>0</v>
      </c>
      <c r="I550" s="1428"/>
      <c r="J550" s="1356" t="s">
        <v>3481</v>
      </c>
      <c r="K550" s="1417"/>
    </row>
    <row r="551" spans="1:13" ht="26.4">
      <c r="A551" s="618">
        <f t="shared" si="51"/>
        <v>31</v>
      </c>
      <c r="B551" s="1437">
        <v>282611</v>
      </c>
      <c r="C551" s="1438" t="s">
        <v>3521</v>
      </c>
      <c r="D551" s="1439">
        <v>4965540.6100000003</v>
      </c>
      <c r="E551" s="1383">
        <v>3940309.9000000004</v>
      </c>
      <c r="F551" s="1383">
        <v>1025230.71</v>
      </c>
      <c r="G551" s="1383">
        <v>0</v>
      </c>
      <c r="H551" s="1383">
        <v>0</v>
      </c>
      <c r="I551" s="1428"/>
      <c r="J551" s="1356" t="s">
        <v>3483</v>
      </c>
      <c r="K551" s="1417"/>
    </row>
    <row r="552" spans="1:13" ht="26.4">
      <c r="A552" s="618">
        <f t="shared" si="51"/>
        <v>32</v>
      </c>
      <c r="B552" s="1437">
        <v>282611</v>
      </c>
      <c r="C552" s="1438" t="s">
        <v>3522</v>
      </c>
      <c r="D552" s="1439">
        <v>-836143.69</v>
      </c>
      <c r="E552" s="1383">
        <v>-654385.63</v>
      </c>
      <c r="F552" s="1383">
        <v>-181758.06</v>
      </c>
      <c r="G552" s="1383">
        <v>0</v>
      </c>
      <c r="H552" s="1383">
        <v>0</v>
      </c>
      <c r="I552" s="1428"/>
      <c r="J552" s="1356" t="s">
        <v>3485</v>
      </c>
      <c r="K552" s="1417"/>
    </row>
    <row r="553" spans="1:13" ht="26.4">
      <c r="A553" s="618">
        <f t="shared" si="51"/>
        <v>33</v>
      </c>
      <c r="B553" s="1437">
        <v>282611</v>
      </c>
      <c r="C553" s="1438" t="s">
        <v>3523</v>
      </c>
      <c r="D553" s="1439">
        <v>8649166.8900000006</v>
      </c>
      <c r="E553" s="1383">
        <v>8649166.8900000006</v>
      </c>
      <c r="F553" s="1383">
        <v>0</v>
      </c>
      <c r="G553" s="1383">
        <v>0</v>
      </c>
      <c r="H553" s="1383">
        <v>0</v>
      </c>
      <c r="I553" s="1428"/>
      <c r="J553" s="1356" t="s">
        <v>3489</v>
      </c>
      <c r="K553" s="1417"/>
    </row>
    <row r="554" spans="1:13" ht="26.4">
      <c r="A554" s="618">
        <f t="shared" si="51"/>
        <v>34</v>
      </c>
      <c r="B554" s="1364">
        <v>282611</v>
      </c>
      <c r="C554" s="1349" t="s">
        <v>3261</v>
      </c>
      <c r="D554" s="1439">
        <v>0</v>
      </c>
      <c r="E554" s="1383">
        <v>0</v>
      </c>
      <c r="F554" s="1383">
        <v>0</v>
      </c>
      <c r="G554" s="1383">
        <v>0</v>
      </c>
      <c r="H554" s="1383">
        <v>0</v>
      </c>
      <c r="I554" s="1428"/>
      <c r="J554" s="1352" t="s">
        <v>3271</v>
      </c>
      <c r="K554" s="1417"/>
    </row>
    <row r="555" spans="1:13" ht="26.4">
      <c r="A555" s="618">
        <f t="shared" si="51"/>
        <v>35</v>
      </c>
      <c r="B555" s="1364">
        <v>282611</v>
      </c>
      <c r="C555" s="1349" t="s">
        <v>1817</v>
      </c>
      <c r="D555" s="1439">
        <v>50389804.960000001</v>
      </c>
      <c r="E555" s="1383">
        <v>3661927.05</v>
      </c>
      <c r="F555" s="1383">
        <v>46200425.409999996</v>
      </c>
      <c r="G555" s="1383">
        <v>527452.5</v>
      </c>
      <c r="H555" s="1383">
        <v>0</v>
      </c>
      <c r="I555" s="1428"/>
      <c r="J555" s="1352" t="s">
        <v>260</v>
      </c>
      <c r="K555" s="1417"/>
    </row>
    <row r="556" spans="1:13" ht="26.4">
      <c r="A556" s="618">
        <f t="shared" si="51"/>
        <v>36</v>
      </c>
      <c r="B556" s="1364">
        <v>282611</v>
      </c>
      <c r="C556" s="1349" t="s">
        <v>261</v>
      </c>
      <c r="D556" s="1439">
        <v>472679.57</v>
      </c>
      <c r="E556" s="1383">
        <v>478895.47000000003</v>
      </c>
      <c r="F556" s="1383">
        <v>169489.72</v>
      </c>
      <c r="G556" s="1383">
        <v>-175705.72</v>
      </c>
      <c r="H556" s="1383">
        <v>0</v>
      </c>
      <c r="I556" s="1428"/>
      <c r="J556" s="1352" t="s">
        <v>387</v>
      </c>
      <c r="K556" s="1417"/>
    </row>
    <row r="557" spans="1:13" ht="66">
      <c r="A557" s="618">
        <f t="shared" si="51"/>
        <v>37</v>
      </c>
      <c r="B557" s="1364">
        <v>282611</v>
      </c>
      <c r="C557" s="1349" t="s">
        <v>3315</v>
      </c>
      <c r="D557" s="1439">
        <v>0</v>
      </c>
      <c r="E557" s="1383">
        <v>0</v>
      </c>
      <c r="F557" s="1383">
        <v>0</v>
      </c>
      <c r="G557" s="1383">
        <v>0</v>
      </c>
      <c r="H557" s="1383">
        <v>0</v>
      </c>
      <c r="I557" s="1428"/>
      <c r="J557" s="1352" t="s">
        <v>3316</v>
      </c>
      <c r="K557" s="1417"/>
    </row>
    <row r="558" spans="1:13">
      <c r="A558" s="618">
        <f t="shared" si="51"/>
        <v>38</v>
      </c>
      <c r="B558" s="1364">
        <v>282611</v>
      </c>
      <c r="C558" s="1430" t="s">
        <v>3263</v>
      </c>
      <c r="D558" s="1441">
        <v>0</v>
      </c>
      <c r="E558" s="1383">
        <v>0</v>
      </c>
      <c r="F558" s="1383">
        <v>0</v>
      </c>
      <c r="G558" s="1383">
        <v>0</v>
      </c>
      <c r="H558" s="1383">
        <v>0</v>
      </c>
      <c r="I558" s="1355"/>
      <c r="J558" s="1373" t="s">
        <v>3273</v>
      </c>
      <c r="K558" s="1417"/>
    </row>
    <row r="559" spans="1:13" ht="15" customHeight="1">
      <c r="A559" s="618">
        <f t="shared" si="51"/>
        <v>39</v>
      </c>
      <c r="B559" s="1364">
        <v>282611</v>
      </c>
      <c r="C559" s="1430" t="s">
        <v>1818</v>
      </c>
      <c r="D559" s="1441">
        <v>-19671871.289999999</v>
      </c>
      <c r="E559" s="1385">
        <v>-19671871.289999999</v>
      </c>
      <c r="F559" s="1383">
        <v>0</v>
      </c>
      <c r="G559" s="1383">
        <v>0</v>
      </c>
      <c r="H559" s="1383">
        <v>0</v>
      </c>
      <c r="I559" s="1355"/>
      <c r="J559" s="1374" t="s">
        <v>3274</v>
      </c>
      <c r="K559" s="1418"/>
      <c r="L559" s="1419"/>
      <c r="M559" s="1420"/>
    </row>
    <row r="560" spans="1:13" ht="15" customHeight="1">
      <c r="A560" s="618">
        <f t="shared" si="51"/>
        <v>40</v>
      </c>
      <c r="B560" s="1364">
        <v>282611</v>
      </c>
      <c r="C560" s="1430" t="s">
        <v>3264</v>
      </c>
      <c r="D560" s="1441">
        <v>-731376.99</v>
      </c>
      <c r="E560" s="1385">
        <v>-731376.99</v>
      </c>
      <c r="F560" s="1383">
        <v>0</v>
      </c>
      <c r="G560" s="1383">
        <v>0</v>
      </c>
      <c r="H560" s="1383">
        <v>0</v>
      </c>
      <c r="I560" s="1355"/>
      <c r="J560" s="1374" t="s">
        <v>3275</v>
      </c>
      <c r="K560" s="1417"/>
    </row>
    <row r="561" spans="1:11" ht="15" customHeight="1">
      <c r="A561" s="618">
        <f t="shared" si="51"/>
        <v>41</v>
      </c>
      <c r="B561" s="1364">
        <v>282611</v>
      </c>
      <c r="C561" s="1430" t="s">
        <v>3265</v>
      </c>
      <c r="D561" s="1441">
        <v>0</v>
      </c>
      <c r="E561" s="1385"/>
      <c r="F561" s="1385"/>
      <c r="G561" s="1385"/>
      <c r="H561" s="1385"/>
      <c r="I561" s="1355"/>
      <c r="J561" s="1374" t="s">
        <v>3276</v>
      </c>
      <c r="K561" s="1417"/>
    </row>
    <row r="562" spans="1:11" ht="15" customHeight="1">
      <c r="A562" s="618">
        <f t="shared" si="51"/>
        <v>42</v>
      </c>
      <c r="B562" s="1364">
        <v>282611</v>
      </c>
      <c r="C562" s="1430" t="s">
        <v>1782</v>
      </c>
      <c r="D562" s="1441">
        <v>-315181.08</v>
      </c>
      <c r="E562" s="1383">
        <v>0</v>
      </c>
      <c r="F562" s="1385">
        <v>-315181.08</v>
      </c>
      <c r="G562" s="1383">
        <v>0</v>
      </c>
      <c r="H562" s="1383">
        <v>0</v>
      </c>
      <c r="I562" s="1355"/>
      <c r="J562" s="1374" t="s">
        <v>1776</v>
      </c>
      <c r="K562" s="785"/>
    </row>
    <row r="563" spans="1:11" ht="15" customHeight="1">
      <c r="A563" s="618">
        <f t="shared" si="51"/>
        <v>43</v>
      </c>
      <c r="B563" s="1364">
        <v>282611</v>
      </c>
      <c r="C563" s="1430" t="s">
        <v>3266</v>
      </c>
      <c r="D563" s="1441">
        <v>0</v>
      </c>
      <c r="E563" s="1383">
        <v>0</v>
      </c>
      <c r="F563" s="1383">
        <v>0</v>
      </c>
      <c r="G563" s="1383">
        <v>0</v>
      </c>
      <c r="H563" s="1383">
        <v>0</v>
      </c>
      <c r="I563" s="1355"/>
      <c r="J563" s="1374" t="s">
        <v>3277</v>
      </c>
      <c r="K563" s="1417"/>
    </row>
    <row r="564" spans="1:11" ht="15" customHeight="1">
      <c r="A564" s="618">
        <f t="shared" si="51"/>
        <v>44</v>
      </c>
      <c r="B564" s="1364">
        <v>282611</v>
      </c>
      <c r="C564" s="1430" t="s">
        <v>1777</v>
      </c>
      <c r="D564" s="1441">
        <v>-2027263.12</v>
      </c>
      <c r="E564" s="1385">
        <v>-2027263.12</v>
      </c>
      <c r="F564" s="1383">
        <v>0</v>
      </c>
      <c r="G564" s="1383">
        <v>0</v>
      </c>
      <c r="H564" s="1383">
        <v>0</v>
      </c>
      <c r="I564" s="1355"/>
      <c r="J564" s="1374" t="s">
        <v>1778</v>
      </c>
      <c r="K564" s="1417"/>
    </row>
    <row r="565" spans="1:11" ht="15" customHeight="1">
      <c r="A565" s="618">
        <f t="shared" si="51"/>
        <v>45</v>
      </c>
      <c r="B565" s="1364">
        <v>282611</v>
      </c>
      <c r="C565" s="1430" t="s">
        <v>3267</v>
      </c>
      <c r="D565" s="1441"/>
      <c r="E565" s="1385"/>
      <c r="F565" s="1385"/>
      <c r="G565" s="1385"/>
      <c r="H565" s="1385"/>
      <c r="I565" s="1355"/>
      <c r="J565" s="1374" t="s">
        <v>3278</v>
      </c>
      <c r="K565" s="1417"/>
    </row>
    <row r="566" spans="1:11" ht="21" customHeight="1">
      <c r="A566" s="619" t="s">
        <v>476</v>
      </c>
      <c r="B566" s="1343" t="s">
        <v>476</v>
      </c>
      <c r="C566" s="1442" t="s">
        <v>1119</v>
      </c>
      <c r="D566" s="1399" t="s">
        <v>476</v>
      </c>
      <c r="E566" s="1399"/>
      <c r="F566" s="1399"/>
      <c r="G566" s="1399"/>
      <c r="H566" s="1399"/>
      <c r="I566" s="1422"/>
      <c r="J566" s="1423"/>
    </row>
    <row r="567" spans="1:11" ht="53.25" customHeight="1">
      <c r="A567" s="618">
        <f>+A565+1</f>
        <v>46</v>
      </c>
      <c r="B567" s="1349">
        <v>282621</v>
      </c>
      <c r="C567" s="1352" t="s">
        <v>1830</v>
      </c>
      <c r="D567" s="1383">
        <v>56021.72</v>
      </c>
      <c r="E567" s="1383">
        <v>0</v>
      </c>
      <c r="F567" s="1383">
        <v>56021.72</v>
      </c>
      <c r="G567" s="1383">
        <v>0</v>
      </c>
      <c r="H567" s="1383">
        <v>0</v>
      </c>
      <c r="I567" s="1428"/>
      <c r="J567" s="1352" t="s">
        <v>978</v>
      </c>
    </row>
    <row r="568" spans="1:11" ht="51.75" customHeight="1">
      <c r="A568" s="618">
        <f>+A567+1</f>
        <v>47</v>
      </c>
      <c r="B568" s="1375">
        <v>282621</v>
      </c>
      <c r="C568" s="1349" t="s">
        <v>3194</v>
      </c>
      <c r="D568" s="1383">
        <v>0</v>
      </c>
      <c r="E568" s="1383">
        <v>0</v>
      </c>
      <c r="F568" s="1383">
        <v>0</v>
      </c>
      <c r="G568" s="1383">
        <v>0</v>
      </c>
      <c r="H568" s="1383">
        <v>0</v>
      </c>
      <c r="I568" s="1434"/>
      <c r="J568" s="1352" t="s">
        <v>3317</v>
      </c>
    </row>
    <row r="569" spans="1:11">
      <c r="A569" s="618"/>
      <c r="B569" s="1392" t="s">
        <v>476</v>
      </c>
      <c r="C569" s="1392" t="s">
        <v>979</v>
      </c>
      <c r="D569" s="1393" t="s">
        <v>476</v>
      </c>
      <c r="E569" s="1393"/>
      <c r="F569" s="1393"/>
      <c r="G569" s="1399"/>
      <c r="H569" s="1399"/>
      <c r="I569" s="1347"/>
      <c r="J569" s="1423"/>
    </row>
    <row r="570" spans="1:11">
      <c r="A570" s="619">
        <f>+A568+1</f>
        <v>48</v>
      </c>
      <c r="B570" s="1362">
        <v>282601</v>
      </c>
      <c r="C570" s="1362" t="s">
        <v>1819</v>
      </c>
      <c r="D570" s="1395">
        <v>-350132441.80000001</v>
      </c>
      <c r="E570" s="1395">
        <v>-350132441.80000001</v>
      </c>
      <c r="F570" s="1383">
        <v>0</v>
      </c>
      <c r="G570" s="1383">
        <v>0</v>
      </c>
      <c r="H570" s="1383">
        <v>0</v>
      </c>
      <c r="I570" s="1429"/>
      <c r="J570" s="1363" t="s">
        <v>2703</v>
      </c>
    </row>
    <row r="571" spans="1:11">
      <c r="A571" s="619">
        <f>+A570+1</f>
        <v>49</v>
      </c>
      <c r="B571" s="1362">
        <v>282611</v>
      </c>
      <c r="C571" s="1362" t="s">
        <v>3270</v>
      </c>
      <c r="D571" s="1395">
        <v>0</v>
      </c>
      <c r="E571" s="1395">
        <v>0</v>
      </c>
      <c r="F571" s="1383"/>
      <c r="G571" s="1383"/>
      <c r="H571" s="1383"/>
      <c r="I571" s="1429"/>
      <c r="J571" s="1363" t="s">
        <v>2703</v>
      </c>
    </row>
    <row r="572" spans="1:11" ht="13.95" customHeight="1">
      <c r="A572" s="618" t="s">
        <v>476</v>
      </c>
      <c r="B572" s="1284"/>
      <c r="C572" s="1285"/>
      <c r="D572" s="1286"/>
      <c r="E572" s="1287"/>
      <c r="F572" s="1288"/>
      <c r="G572" s="1196"/>
      <c r="H572" s="1196"/>
      <c r="I572" s="1196"/>
      <c r="J572" s="761"/>
    </row>
    <row r="573" spans="1:11" ht="12.75" customHeight="1">
      <c r="A573" s="504">
        <f>+A571+1</f>
        <v>50</v>
      </c>
      <c r="B573" s="506"/>
      <c r="C573" s="515" t="s">
        <v>2327</v>
      </c>
      <c r="D573" s="1366">
        <f>+SUM(D521:D571)</f>
        <v>535476484.14000028</v>
      </c>
      <c r="E573" s="508">
        <f>+SUM(E521:E571)</f>
        <v>68018226.129999995</v>
      </c>
      <c r="F573" s="508">
        <f>+SUM(F521:F571)</f>
        <v>436334585.41000003</v>
      </c>
      <c r="G573" s="498">
        <f>+SUM(G521:G571)</f>
        <v>31136175.48</v>
      </c>
      <c r="H573" s="498">
        <f>+SUM(H521:H571)</f>
        <v>-12502.98</v>
      </c>
      <c r="I573" s="516"/>
      <c r="J573" s="484"/>
      <c r="K573" s="528"/>
    </row>
    <row r="574" spans="1:11" ht="12.75" customHeight="1">
      <c r="A574" s="504">
        <f>A573+1</f>
        <v>51</v>
      </c>
      <c r="B574" s="506"/>
      <c r="C574" s="512" t="s">
        <v>507</v>
      </c>
      <c r="D574" s="484"/>
      <c r="E574" s="484"/>
      <c r="F574" s="484"/>
      <c r="G574" s="498"/>
      <c r="H574" s="498"/>
      <c r="I574" s="484"/>
      <c r="J574" s="484"/>
    </row>
    <row r="575" spans="1:11" ht="12.75" customHeight="1">
      <c r="A575" s="504">
        <f>A574+1</f>
        <v>52</v>
      </c>
      <c r="B575" s="506"/>
      <c r="C575" s="512" t="s">
        <v>508</v>
      </c>
      <c r="D575" s="484"/>
      <c r="E575" s="484"/>
      <c r="F575" s="484"/>
      <c r="G575" s="498"/>
      <c r="H575" s="498"/>
      <c r="I575" s="484"/>
      <c r="J575" s="484"/>
    </row>
    <row r="576" spans="1:11" ht="12.75" customHeight="1">
      <c r="A576" s="504">
        <f>A575+1</f>
        <v>53</v>
      </c>
      <c r="B576" s="506"/>
      <c r="C576" s="512" t="s">
        <v>468</v>
      </c>
      <c r="D576" s="498">
        <f>D573-D574-D575</f>
        <v>535476484.14000028</v>
      </c>
      <c r="E576" s="498">
        <f>E573-E574-E575</f>
        <v>68018226.129999995</v>
      </c>
      <c r="F576" s="498">
        <f>F573-F574-F575</f>
        <v>436334585.41000003</v>
      </c>
      <c r="G576" s="498">
        <f>G573-G574-G575</f>
        <v>31136175.48</v>
      </c>
      <c r="H576" s="498">
        <f>H573-H574-H575</f>
        <v>-12502.98</v>
      </c>
      <c r="I576" s="484"/>
      <c r="J576" s="484"/>
    </row>
    <row r="577" spans="1:11" ht="12.75" customHeight="1">
      <c r="A577" s="504">
        <f>A576+1</f>
        <v>54</v>
      </c>
      <c r="B577" s="506"/>
      <c r="C577" s="518" t="s">
        <v>2328</v>
      </c>
      <c r="D577" s="498"/>
      <c r="E577" s="519">
        <f>E500</f>
        <v>0</v>
      </c>
      <c r="F577" s="519">
        <f>F500</f>
        <v>1</v>
      </c>
      <c r="G577" s="519">
        <f>G500</f>
        <v>0.50821559584268561</v>
      </c>
      <c r="H577" s="519">
        <f>H500</f>
        <v>0.73673230862335481</v>
      </c>
      <c r="I577" s="484"/>
      <c r="J577" s="484"/>
    </row>
    <row r="578" spans="1:11" ht="12.75" customHeight="1">
      <c r="A578" s="504">
        <f>A577+1</f>
        <v>55</v>
      </c>
      <c r="B578" s="506"/>
      <c r="C578" s="512" t="s">
        <v>468</v>
      </c>
      <c r="D578" s="484"/>
      <c r="E578" s="498">
        <f>E576*E577</f>
        <v>0</v>
      </c>
      <c r="F578" s="498">
        <f>F576*F577</f>
        <v>436334585.41000003</v>
      </c>
      <c r="G578" s="498">
        <f>G576*G577</f>
        <v>15823889.973830618</v>
      </c>
      <c r="H578" s="498">
        <f>H576*H577</f>
        <v>-9211.349320071633</v>
      </c>
      <c r="I578" s="520">
        <f>SUM(E578:H578)</f>
        <v>452149264.03451061</v>
      </c>
      <c r="J578" s="484" t="s">
        <v>24</v>
      </c>
    </row>
    <row r="579" spans="1:11" ht="20.399999999999999">
      <c r="A579" s="1740" t="s">
        <v>3001</v>
      </c>
      <c r="B579" s="1740"/>
      <c r="C579" s="1741"/>
      <c r="D579" s="1741"/>
      <c r="E579" s="1741"/>
      <c r="F579" s="1741"/>
      <c r="G579" s="1741"/>
      <c r="H579" s="1741"/>
      <c r="I579" s="1741"/>
      <c r="J579" s="1741"/>
    </row>
    <row r="580" spans="1:11" ht="19.2">
      <c r="A580" s="1742" t="str">
        <f>A2</f>
        <v>For Contract Year Beginning June 1, 2024, Based on 2023 Data</v>
      </c>
      <c r="B580" s="1742"/>
      <c r="C580" s="1743"/>
      <c r="D580" s="1743"/>
      <c r="E580" s="1743"/>
      <c r="F580" s="1743"/>
      <c r="G580" s="1743"/>
      <c r="H580" s="1743"/>
      <c r="I580" s="1743"/>
      <c r="J580" s="1743"/>
    </row>
    <row r="581" spans="1:11" ht="12.75" customHeight="1">
      <c r="A581" s="506"/>
      <c r="B581" s="506"/>
      <c r="C581" s="522"/>
      <c r="D581" s="484"/>
      <c r="E581" s="484"/>
      <c r="F581" s="484"/>
      <c r="G581" s="505"/>
      <c r="H581" s="505"/>
      <c r="I581" s="484"/>
      <c r="J581" s="484"/>
    </row>
    <row r="582" spans="1:11">
      <c r="A582" s="485"/>
      <c r="B582" s="485"/>
      <c r="C582" s="487"/>
      <c r="D582" s="763" t="s">
        <v>480</v>
      </c>
      <c r="E582" s="763" t="s">
        <v>481</v>
      </c>
      <c r="F582" s="763" t="s">
        <v>482</v>
      </c>
      <c r="G582" s="763" t="s">
        <v>483</v>
      </c>
      <c r="H582" s="763" t="s">
        <v>484</v>
      </c>
      <c r="I582" s="763" t="s">
        <v>884</v>
      </c>
      <c r="J582" s="763" t="s">
        <v>485</v>
      </c>
    </row>
    <row r="583" spans="1:11">
      <c r="A583" s="506"/>
      <c r="B583" s="506"/>
      <c r="C583" s="484"/>
      <c r="D583" s="511"/>
      <c r="E583" s="774" t="s">
        <v>789</v>
      </c>
      <c r="F583" s="774" t="s">
        <v>789</v>
      </c>
      <c r="G583" s="764"/>
      <c r="H583" s="764"/>
      <c r="I583" s="764" t="s">
        <v>468</v>
      </c>
      <c r="J583" s="764" t="s">
        <v>476</v>
      </c>
    </row>
    <row r="584" spans="1:11">
      <c r="A584" s="506"/>
      <c r="B584" s="506"/>
      <c r="C584" s="484"/>
      <c r="D584" s="609" t="s">
        <v>476</v>
      </c>
      <c r="E584" s="764" t="s">
        <v>1231</v>
      </c>
      <c r="F584" s="764" t="s">
        <v>1232</v>
      </c>
      <c r="G584" s="764" t="s">
        <v>477</v>
      </c>
      <c r="H584" s="764" t="s">
        <v>478</v>
      </c>
      <c r="I584" s="764" t="s">
        <v>1079</v>
      </c>
      <c r="J584" s="764" t="s">
        <v>486</v>
      </c>
    </row>
    <row r="585" spans="1:11">
      <c r="A585" s="506"/>
      <c r="B585" s="506"/>
      <c r="C585" s="484"/>
      <c r="D585" s="764" t="s">
        <v>487</v>
      </c>
      <c r="E585" s="764" t="s">
        <v>479</v>
      </c>
      <c r="F585" s="764" t="s">
        <v>479</v>
      </c>
      <c r="G585" s="764" t="s">
        <v>479</v>
      </c>
      <c r="H585" s="764" t="s">
        <v>479</v>
      </c>
      <c r="I585" s="764" t="s">
        <v>299</v>
      </c>
      <c r="J585" s="764" t="s">
        <v>300</v>
      </c>
    </row>
    <row r="586" spans="1:11">
      <c r="A586" s="499" t="s">
        <v>531</v>
      </c>
      <c r="B586" s="500" t="s">
        <v>1078</v>
      </c>
      <c r="C586" s="501" t="s">
        <v>880</v>
      </c>
      <c r="D586" s="484"/>
      <c r="E586" s="484"/>
      <c r="F586" s="484"/>
      <c r="G586" s="510"/>
      <c r="H586" s="510"/>
      <c r="I586" s="484"/>
      <c r="J586" s="484"/>
    </row>
    <row r="587" spans="1:11">
      <c r="A587" s="618" t="s">
        <v>476</v>
      </c>
      <c r="B587" s="1343" t="s">
        <v>476</v>
      </c>
      <c r="C587" s="1343" t="s">
        <v>1533</v>
      </c>
      <c r="D587" s="1443" t="s">
        <v>476</v>
      </c>
      <c r="E587" s="1443"/>
      <c r="F587" s="1399"/>
      <c r="G587" s="1443" t="s">
        <v>476</v>
      </c>
      <c r="H587" s="1341"/>
      <c r="I587" s="1397"/>
      <c r="J587" s="1423"/>
    </row>
    <row r="588" spans="1:11">
      <c r="A588" s="618">
        <v>1</v>
      </c>
      <c r="B588" s="1349">
        <v>283300</v>
      </c>
      <c r="C588" s="1349" t="s">
        <v>3155</v>
      </c>
      <c r="D588" s="1383">
        <v>528793.19999999995</v>
      </c>
      <c r="E588" s="1383">
        <v>528793.19999999995</v>
      </c>
      <c r="F588" s="1383">
        <v>0</v>
      </c>
      <c r="G588" s="1383">
        <v>0</v>
      </c>
      <c r="H588" s="1383">
        <v>0</v>
      </c>
      <c r="I588" s="1436"/>
      <c r="J588" s="1352" t="s">
        <v>3156</v>
      </c>
      <c r="K588" s="1417"/>
    </row>
    <row r="589" spans="1:11" ht="26.4">
      <c r="A589" s="618">
        <f t="shared" ref="A589:A601" si="52">A588+1</f>
        <v>2</v>
      </c>
      <c r="B589" s="1349">
        <v>283300</v>
      </c>
      <c r="C589" s="1349" t="s">
        <v>1783</v>
      </c>
      <c r="D589" s="1383">
        <v>1575588.33</v>
      </c>
      <c r="E589" s="1383">
        <v>0</v>
      </c>
      <c r="F589" s="1383">
        <v>1575588.33</v>
      </c>
      <c r="G589" s="1383">
        <v>0</v>
      </c>
      <c r="H589" s="1383">
        <v>0</v>
      </c>
      <c r="I589" s="1428"/>
      <c r="J589" s="1352" t="s">
        <v>400</v>
      </c>
      <c r="K589" s="1417"/>
    </row>
    <row r="590" spans="1:11">
      <c r="A590" s="618">
        <f t="shared" si="52"/>
        <v>3</v>
      </c>
      <c r="B590" s="1349">
        <v>283300</v>
      </c>
      <c r="C590" s="1349" t="s">
        <v>162</v>
      </c>
      <c r="D590" s="1383">
        <v>-39060</v>
      </c>
      <c r="E590" s="1383">
        <v>-39060</v>
      </c>
      <c r="F590" s="1383">
        <v>0</v>
      </c>
      <c r="G590" s="1383">
        <v>0</v>
      </c>
      <c r="H590" s="1383">
        <v>0</v>
      </c>
      <c r="I590" s="1428"/>
      <c r="J590" s="1352" t="s">
        <v>1586</v>
      </c>
      <c r="K590" s="1417"/>
    </row>
    <row r="591" spans="1:11" ht="26.4">
      <c r="A591" s="618">
        <f t="shared" si="52"/>
        <v>4</v>
      </c>
      <c r="B591" s="1349">
        <v>283300</v>
      </c>
      <c r="C591" s="1349" t="s">
        <v>1831</v>
      </c>
      <c r="D591" s="1383">
        <v>886572.62</v>
      </c>
      <c r="E591" s="1383">
        <v>886572.62</v>
      </c>
      <c r="F591" s="1383">
        <v>0</v>
      </c>
      <c r="G591" s="1383">
        <v>0</v>
      </c>
      <c r="H591" s="1383">
        <v>0</v>
      </c>
      <c r="I591" s="1428"/>
      <c r="J591" s="1352" t="s">
        <v>401</v>
      </c>
      <c r="K591" s="1417"/>
    </row>
    <row r="592" spans="1:11" ht="43.2" customHeight="1">
      <c r="A592" s="618">
        <f t="shared" si="52"/>
        <v>5</v>
      </c>
      <c r="B592" s="1349">
        <v>283300</v>
      </c>
      <c r="C592" s="1349" t="s">
        <v>402</v>
      </c>
      <c r="D592" s="1383">
        <v>1309046.51</v>
      </c>
      <c r="E592" s="1383">
        <v>1309046.51</v>
      </c>
      <c r="F592" s="1383">
        <v>0</v>
      </c>
      <c r="G592" s="1383">
        <v>0</v>
      </c>
      <c r="H592" s="1383">
        <v>0</v>
      </c>
      <c r="I592" s="1428"/>
      <c r="J592" s="1352" t="s">
        <v>575</v>
      </c>
      <c r="K592" s="1417"/>
    </row>
    <row r="593" spans="1:11" ht="26.4">
      <c r="A593" s="618">
        <f t="shared" si="52"/>
        <v>6</v>
      </c>
      <c r="B593" s="1349">
        <v>283300</v>
      </c>
      <c r="C593" s="1349" t="s">
        <v>576</v>
      </c>
      <c r="D593" s="1383">
        <v>49452.639999999999</v>
      </c>
      <c r="E593" s="1383">
        <v>49452.639999999999</v>
      </c>
      <c r="F593" s="1383">
        <v>0</v>
      </c>
      <c r="G593" s="1383">
        <v>0</v>
      </c>
      <c r="H593" s="1383">
        <v>0</v>
      </c>
      <c r="I593" s="1428"/>
      <c r="J593" s="1352" t="s">
        <v>577</v>
      </c>
      <c r="K593" s="1417"/>
    </row>
    <row r="594" spans="1:11">
      <c r="A594" s="618">
        <f t="shared" si="52"/>
        <v>7</v>
      </c>
      <c r="B594" s="1349">
        <v>283300</v>
      </c>
      <c r="C594" s="1349" t="s">
        <v>578</v>
      </c>
      <c r="D594" s="1383">
        <v>97287.66</v>
      </c>
      <c r="E594" s="1383">
        <v>97287.66</v>
      </c>
      <c r="F594" s="1383">
        <v>0</v>
      </c>
      <c r="G594" s="1383">
        <v>0</v>
      </c>
      <c r="H594" s="1383">
        <v>0</v>
      </c>
      <c r="I594" s="1428"/>
      <c r="J594" s="1352" t="s">
        <v>579</v>
      </c>
      <c r="K594" s="1417"/>
    </row>
    <row r="595" spans="1:11" ht="26.4">
      <c r="A595" s="618">
        <f>+A594+1</f>
        <v>8</v>
      </c>
      <c r="B595" s="1349">
        <v>283300</v>
      </c>
      <c r="C595" s="1349" t="s">
        <v>1789</v>
      </c>
      <c r="D595" s="1383">
        <v>-3285655.44</v>
      </c>
      <c r="E595" s="1383">
        <v>-3285655.44</v>
      </c>
      <c r="F595" s="1383">
        <v>0</v>
      </c>
      <c r="G595" s="1383"/>
      <c r="H595" s="1383"/>
      <c r="I595" s="1428"/>
      <c r="J595" s="1352" t="s">
        <v>259</v>
      </c>
      <c r="K595" s="1417"/>
    </row>
    <row r="596" spans="1:11">
      <c r="A596" s="618">
        <f t="shared" si="52"/>
        <v>9</v>
      </c>
      <c r="B596" s="1349">
        <v>283300</v>
      </c>
      <c r="C596" s="1349" t="s">
        <v>3157</v>
      </c>
      <c r="D596" s="1383">
        <v>1254768.17</v>
      </c>
      <c r="E596" s="1383">
        <v>1254768.17</v>
      </c>
      <c r="F596" s="1383">
        <v>0</v>
      </c>
      <c r="G596" s="1383">
        <v>0</v>
      </c>
      <c r="H596" s="1383"/>
      <c r="I596" s="1428"/>
      <c r="J596" s="1352" t="s">
        <v>3158</v>
      </c>
      <c r="K596" s="1417"/>
    </row>
    <row r="597" spans="1:11" ht="26.4">
      <c r="A597" s="618">
        <f t="shared" si="52"/>
        <v>10</v>
      </c>
      <c r="B597" s="1349">
        <v>283300</v>
      </c>
      <c r="C597" s="1349" t="s">
        <v>3610</v>
      </c>
      <c r="D597" s="1383">
        <v>1936480.37</v>
      </c>
      <c r="E597" s="1383">
        <v>1936480.37</v>
      </c>
      <c r="F597" s="1383">
        <v>0</v>
      </c>
      <c r="G597" s="1383">
        <v>0</v>
      </c>
      <c r="H597" s="1383">
        <v>0</v>
      </c>
      <c r="I597" s="1428"/>
      <c r="J597" s="1352" t="s">
        <v>1771</v>
      </c>
      <c r="K597" s="1417"/>
    </row>
    <row r="598" spans="1:11">
      <c r="A598" s="618">
        <f t="shared" si="52"/>
        <v>11</v>
      </c>
      <c r="B598" s="1349">
        <v>283300</v>
      </c>
      <c r="C598" s="1349" t="s">
        <v>1790</v>
      </c>
      <c r="D598" s="1383">
        <v>0</v>
      </c>
      <c r="E598" s="1383">
        <v>0</v>
      </c>
      <c r="F598" s="1383">
        <v>0</v>
      </c>
      <c r="G598" s="1383">
        <v>0</v>
      </c>
      <c r="H598" s="1383">
        <v>0</v>
      </c>
      <c r="I598" s="1428"/>
      <c r="J598" s="1352" t="s">
        <v>501</v>
      </c>
      <c r="K598" s="1417"/>
    </row>
    <row r="599" spans="1:11">
      <c r="A599" s="618">
        <f t="shared" si="52"/>
        <v>12</v>
      </c>
      <c r="B599" s="1349">
        <v>283300</v>
      </c>
      <c r="C599" s="1430" t="s">
        <v>1832</v>
      </c>
      <c r="D599" s="1441"/>
      <c r="E599" s="1441">
        <v>0</v>
      </c>
      <c r="F599" s="1383">
        <v>0</v>
      </c>
      <c r="G599" s="1383">
        <v>0</v>
      </c>
      <c r="H599" s="1383">
        <v>0</v>
      </c>
      <c r="I599" s="1355"/>
      <c r="J599" s="1444" t="s">
        <v>1780</v>
      </c>
      <c r="K599" s="1417"/>
    </row>
    <row r="600" spans="1:11" ht="26.4">
      <c r="A600" s="619">
        <f>+A599+1</f>
        <v>13</v>
      </c>
      <c r="B600" s="1349">
        <v>283300</v>
      </c>
      <c r="C600" s="1445" t="s">
        <v>1821</v>
      </c>
      <c r="D600" s="1446">
        <v>0</v>
      </c>
      <c r="E600" s="1441">
        <v>0</v>
      </c>
      <c r="F600" s="1383">
        <v>0</v>
      </c>
      <c r="G600" s="1383">
        <v>0</v>
      </c>
      <c r="H600" s="1383">
        <v>0</v>
      </c>
      <c r="I600" s="1355"/>
      <c r="J600" s="1374" t="s">
        <v>638</v>
      </c>
      <c r="K600" s="1417"/>
    </row>
    <row r="601" spans="1:11" ht="26.4">
      <c r="A601" s="619">
        <f t="shared" si="52"/>
        <v>14</v>
      </c>
      <c r="B601" s="1349">
        <v>283300</v>
      </c>
      <c r="C601" s="1430" t="s">
        <v>3280</v>
      </c>
      <c r="D601" s="1446">
        <v>0</v>
      </c>
      <c r="E601" s="1441">
        <v>0</v>
      </c>
      <c r="F601" s="1383">
        <v>0</v>
      </c>
      <c r="G601" s="1383">
        <v>0</v>
      </c>
      <c r="H601" s="1383">
        <v>0</v>
      </c>
      <c r="I601" s="1355"/>
      <c r="J601" s="1374" t="s">
        <v>3288</v>
      </c>
      <c r="K601" s="1417"/>
    </row>
    <row r="602" spans="1:11" ht="26.4">
      <c r="A602" s="619">
        <f t="shared" ref="A602:A608" si="53">+A601+1</f>
        <v>15</v>
      </c>
      <c r="B602" s="1349">
        <v>283300</v>
      </c>
      <c r="C602" s="1430" t="s">
        <v>639</v>
      </c>
      <c r="D602" s="1446">
        <v>-1505623.77</v>
      </c>
      <c r="E602" s="1441">
        <v>-1505623.77</v>
      </c>
      <c r="F602" s="1383">
        <v>0</v>
      </c>
      <c r="G602" s="1383">
        <v>0</v>
      </c>
      <c r="H602" s="1383">
        <v>0</v>
      </c>
      <c r="I602" s="1355"/>
      <c r="J602" s="1374" t="s">
        <v>644</v>
      </c>
      <c r="K602" s="1417"/>
    </row>
    <row r="603" spans="1:11" ht="26.4">
      <c r="A603" s="619">
        <f t="shared" si="53"/>
        <v>16</v>
      </c>
      <c r="B603" s="1349">
        <v>283300</v>
      </c>
      <c r="C603" s="1349" t="s">
        <v>1779</v>
      </c>
      <c r="D603" s="1439"/>
      <c r="E603" s="1439">
        <v>0</v>
      </c>
      <c r="F603" s="1383">
        <v>0</v>
      </c>
      <c r="G603" s="1383">
        <v>0</v>
      </c>
      <c r="H603" s="1383">
        <v>0</v>
      </c>
      <c r="I603" s="1428"/>
      <c r="J603" s="1352" t="s">
        <v>886</v>
      </c>
      <c r="K603" s="1417"/>
    </row>
    <row r="604" spans="1:11" ht="26.4">
      <c r="A604" s="619">
        <f t="shared" si="53"/>
        <v>17</v>
      </c>
      <c r="B604" s="1349">
        <v>283300</v>
      </c>
      <c r="C604" s="1349" t="s">
        <v>1784</v>
      </c>
      <c r="D604" s="1439">
        <v>-2568690.11</v>
      </c>
      <c r="E604" s="1439">
        <v>-2568690.11</v>
      </c>
      <c r="F604" s="1383">
        <v>0</v>
      </c>
      <c r="G604" s="1383">
        <v>0</v>
      </c>
      <c r="H604" s="1383">
        <v>0</v>
      </c>
      <c r="I604" s="1428"/>
      <c r="J604" s="1352" t="s">
        <v>887</v>
      </c>
      <c r="K604" s="1417"/>
    </row>
    <row r="605" spans="1:11">
      <c r="A605" s="619">
        <f t="shared" si="53"/>
        <v>18</v>
      </c>
      <c r="B605" s="1349">
        <v>283300</v>
      </c>
      <c r="C605" s="1349" t="s">
        <v>3318</v>
      </c>
      <c r="D605" s="1439">
        <v>0</v>
      </c>
      <c r="E605" s="1439">
        <v>0</v>
      </c>
      <c r="F605" s="1383">
        <v>0</v>
      </c>
      <c r="G605" s="1383">
        <v>0</v>
      </c>
      <c r="H605" s="1383">
        <v>0</v>
      </c>
      <c r="I605" s="1428"/>
      <c r="J605" s="1352" t="s">
        <v>3320</v>
      </c>
      <c r="K605" s="1417"/>
    </row>
    <row r="606" spans="1:11" ht="26.4">
      <c r="A606" s="619">
        <f t="shared" si="53"/>
        <v>19</v>
      </c>
      <c r="B606" s="1349">
        <v>283300</v>
      </c>
      <c r="C606" s="1349" t="s">
        <v>3319</v>
      </c>
      <c r="D606" s="1439">
        <v>0</v>
      </c>
      <c r="E606" s="1439">
        <v>0</v>
      </c>
      <c r="F606" s="1383">
        <v>0</v>
      </c>
      <c r="G606" s="1383">
        <v>0</v>
      </c>
      <c r="H606" s="1383">
        <v>0</v>
      </c>
      <c r="I606" s="1428"/>
      <c r="J606" s="1352" t="s">
        <v>3321</v>
      </c>
      <c r="K606" s="1417"/>
    </row>
    <row r="607" spans="1:11" ht="26.4">
      <c r="A607" s="619">
        <f t="shared" si="53"/>
        <v>20</v>
      </c>
      <c r="B607" s="1349">
        <v>283300</v>
      </c>
      <c r="C607" s="1349" t="s">
        <v>1226</v>
      </c>
      <c r="D607" s="1439">
        <v>15966.88</v>
      </c>
      <c r="E607" s="1439">
        <v>15966.88</v>
      </c>
      <c r="F607" s="1383">
        <v>0</v>
      </c>
      <c r="G607" s="1383">
        <v>0</v>
      </c>
      <c r="H607" s="1383">
        <v>0</v>
      </c>
      <c r="I607" s="1428"/>
      <c r="J607" s="1352" t="s">
        <v>1227</v>
      </c>
      <c r="K607" s="1417"/>
    </row>
    <row r="608" spans="1:11" ht="28.95" customHeight="1">
      <c r="A608" s="619">
        <f t="shared" si="53"/>
        <v>21</v>
      </c>
      <c r="B608" s="1349">
        <v>283300</v>
      </c>
      <c r="C608" s="1349" t="s">
        <v>1228</v>
      </c>
      <c r="D608" s="1439">
        <v>548283.86</v>
      </c>
      <c r="E608" s="1439">
        <v>548283.86</v>
      </c>
      <c r="F608" s="1439">
        <v>0</v>
      </c>
      <c r="G608" s="1447">
        <v>0</v>
      </c>
      <c r="H608" s="1439">
        <v>0</v>
      </c>
      <c r="I608" s="1428"/>
      <c r="J608" s="1352" t="s">
        <v>1229</v>
      </c>
      <c r="K608" s="1417"/>
    </row>
    <row r="609" spans="1:11" ht="20.399999999999999">
      <c r="A609" s="1740" t="s">
        <v>3001</v>
      </c>
      <c r="B609" s="1740"/>
      <c r="C609" s="1741"/>
      <c r="D609" s="1741"/>
      <c r="E609" s="1741"/>
      <c r="F609" s="1741"/>
      <c r="G609" s="1741"/>
      <c r="H609" s="1741"/>
      <c r="I609" s="1741"/>
      <c r="J609" s="1741"/>
    </row>
    <row r="610" spans="1:11" ht="19.2">
      <c r="A610" s="1742" t="str">
        <f>A2</f>
        <v>For Contract Year Beginning June 1, 2024, Based on 2023 Data</v>
      </c>
      <c r="B610" s="1742"/>
      <c r="C610" s="1743"/>
      <c r="D610" s="1743"/>
      <c r="E610" s="1743"/>
      <c r="F610" s="1743"/>
      <c r="G610" s="1743"/>
      <c r="H610" s="1743"/>
      <c r="I610" s="1743"/>
      <c r="J610" s="1743"/>
    </row>
    <row r="611" spans="1:11" ht="13.8">
      <c r="A611" s="506"/>
      <c r="B611" s="506"/>
      <c r="C611" s="484"/>
      <c r="D611" s="484"/>
      <c r="E611" s="484"/>
      <c r="F611" s="484"/>
      <c r="G611" s="484"/>
      <c r="H611" s="507"/>
      <c r="I611" s="484"/>
      <c r="J611" s="484"/>
    </row>
    <row r="612" spans="1:11">
      <c r="A612" s="485"/>
      <c r="B612" s="485"/>
      <c r="C612" s="487"/>
      <c r="D612" s="763" t="s">
        <v>480</v>
      </c>
      <c r="E612" s="763" t="s">
        <v>481</v>
      </c>
      <c r="F612" s="763" t="s">
        <v>482</v>
      </c>
      <c r="G612" s="763" t="s">
        <v>483</v>
      </c>
      <c r="H612" s="763" t="s">
        <v>484</v>
      </c>
      <c r="I612" s="763" t="s">
        <v>884</v>
      </c>
      <c r="J612" s="763" t="s">
        <v>485</v>
      </c>
    </row>
    <row r="613" spans="1:11" ht="13.8">
      <c r="A613" s="506"/>
      <c r="B613" s="506"/>
      <c r="C613" s="507"/>
      <c r="D613" s="511"/>
      <c r="E613" s="774" t="s">
        <v>789</v>
      </c>
      <c r="F613" s="774" t="s">
        <v>789</v>
      </c>
      <c r="G613" s="764"/>
      <c r="H613" s="764"/>
      <c r="I613" s="764" t="s">
        <v>468</v>
      </c>
      <c r="J613" s="764" t="s">
        <v>476</v>
      </c>
    </row>
    <row r="614" spans="1:11">
      <c r="A614" s="506"/>
      <c r="B614" s="506"/>
      <c r="C614" s="522"/>
      <c r="D614" s="609" t="s">
        <v>476</v>
      </c>
      <c r="E614" s="764" t="s">
        <v>1231</v>
      </c>
      <c r="F614" s="764" t="s">
        <v>1232</v>
      </c>
      <c r="G614" s="764" t="s">
        <v>477</v>
      </c>
      <c r="H614" s="764" t="s">
        <v>478</v>
      </c>
      <c r="I614" s="764" t="s">
        <v>1079</v>
      </c>
      <c r="J614" s="764" t="s">
        <v>486</v>
      </c>
    </row>
    <row r="615" spans="1:11">
      <c r="A615" s="506"/>
      <c r="B615" s="506"/>
      <c r="C615" s="484"/>
      <c r="D615" s="764" t="s">
        <v>487</v>
      </c>
      <c r="E615" s="764" t="s">
        <v>479</v>
      </c>
      <c r="F615" s="764" t="s">
        <v>479</v>
      </c>
      <c r="G615" s="764" t="s">
        <v>479</v>
      </c>
      <c r="H615" s="764" t="s">
        <v>479</v>
      </c>
      <c r="I615" s="764" t="s">
        <v>299</v>
      </c>
      <c r="J615" s="764" t="s">
        <v>300</v>
      </c>
    </row>
    <row r="616" spans="1:11" ht="13.8">
      <c r="A616" s="499" t="s">
        <v>531</v>
      </c>
      <c r="B616" s="500" t="s">
        <v>1078</v>
      </c>
      <c r="C616" s="501" t="s">
        <v>880</v>
      </c>
      <c r="D616" s="503"/>
      <c r="E616" s="503"/>
      <c r="F616" s="503"/>
      <c r="G616" s="503"/>
      <c r="H616" s="503"/>
      <c r="I616" s="503"/>
      <c r="J616" s="503"/>
    </row>
    <row r="617" spans="1:11" ht="26.4">
      <c r="A617" s="619">
        <f>+A608+1</f>
        <v>22</v>
      </c>
      <c r="B617" s="1349">
        <v>283300</v>
      </c>
      <c r="C617" s="1430" t="s">
        <v>3322</v>
      </c>
      <c r="D617" s="1385">
        <v>0</v>
      </c>
      <c r="E617" s="1385">
        <v>0</v>
      </c>
      <c r="F617" s="1383">
        <v>0</v>
      </c>
      <c r="G617" s="1383">
        <v>0</v>
      </c>
      <c r="H617" s="1383">
        <v>0</v>
      </c>
      <c r="I617" s="1355"/>
      <c r="J617" s="1374" t="s">
        <v>3328</v>
      </c>
      <c r="K617" s="1417"/>
    </row>
    <row r="618" spans="1:11" ht="26.4">
      <c r="A618" s="619">
        <f t="shared" ref="A618:A632" si="54">+A617+1</f>
        <v>23</v>
      </c>
      <c r="B618" s="1349">
        <v>283300</v>
      </c>
      <c r="C618" s="1430" t="s">
        <v>3282</v>
      </c>
      <c r="D618" s="1385">
        <v>0</v>
      </c>
      <c r="E618" s="1385">
        <v>0</v>
      </c>
      <c r="F618" s="1383">
        <v>0</v>
      </c>
      <c r="G618" s="1383">
        <v>0</v>
      </c>
      <c r="H618" s="1383">
        <v>0</v>
      </c>
      <c r="I618" s="1355"/>
      <c r="J618" s="1374" t="s">
        <v>3290</v>
      </c>
      <c r="K618" s="1417"/>
    </row>
    <row r="619" spans="1:11">
      <c r="A619" s="619">
        <f t="shared" si="54"/>
        <v>24</v>
      </c>
      <c r="B619" s="1349"/>
      <c r="C619" s="1388"/>
      <c r="D619" s="1385">
        <v>0</v>
      </c>
      <c r="E619" s="1385">
        <v>0</v>
      </c>
      <c r="F619" s="1383">
        <v>0</v>
      </c>
      <c r="G619" s="1383">
        <v>0</v>
      </c>
      <c r="H619" s="1383">
        <v>0</v>
      </c>
      <c r="I619" s="1355"/>
      <c r="J619" s="1390"/>
      <c r="K619" s="1417"/>
    </row>
    <row r="620" spans="1:11">
      <c r="A620" s="619">
        <f t="shared" si="54"/>
        <v>25</v>
      </c>
      <c r="B620" s="1349">
        <v>283300</v>
      </c>
      <c r="C620" s="1388" t="s">
        <v>1833</v>
      </c>
      <c r="D620" s="1385">
        <v>325891.78000000003</v>
      </c>
      <c r="E620" s="1385">
        <v>325891.78000000003</v>
      </c>
      <c r="F620" s="1383">
        <v>0</v>
      </c>
      <c r="G620" s="1383">
        <v>0</v>
      </c>
      <c r="H620" s="1383">
        <v>0</v>
      </c>
      <c r="I620" s="1355"/>
      <c r="J620" s="1390" t="s">
        <v>1834</v>
      </c>
      <c r="K620" s="1417"/>
    </row>
    <row r="621" spans="1:11">
      <c r="A621" s="619">
        <f t="shared" si="54"/>
        <v>26</v>
      </c>
      <c r="B621" s="1448">
        <v>283300</v>
      </c>
      <c r="C621" s="1449" t="s">
        <v>3524</v>
      </c>
      <c r="D621" s="1385">
        <v>2173148.42</v>
      </c>
      <c r="E621" s="1385">
        <v>2173148.42</v>
      </c>
      <c r="F621" s="1383">
        <v>0</v>
      </c>
      <c r="G621" s="1383">
        <v>0</v>
      </c>
      <c r="H621" s="1383"/>
      <c r="I621" s="1355"/>
      <c r="J621" s="1390" t="s">
        <v>3493</v>
      </c>
      <c r="K621" s="1417"/>
    </row>
    <row r="622" spans="1:11">
      <c r="A622" s="619">
        <f t="shared" si="54"/>
        <v>27</v>
      </c>
      <c r="B622" s="1448">
        <v>283300</v>
      </c>
      <c r="C622" s="1449" t="s">
        <v>3494</v>
      </c>
      <c r="D622" s="1385">
        <v>368667.6</v>
      </c>
      <c r="E622" s="1385"/>
      <c r="F622" s="1383">
        <v>0</v>
      </c>
      <c r="G622" s="1383">
        <v>0</v>
      </c>
      <c r="H622" s="1383">
        <v>368667.6</v>
      </c>
      <c r="I622" s="1355"/>
      <c r="J622" s="1389" t="s">
        <v>3495</v>
      </c>
      <c r="K622" s="1417"/>
    </row>
    <row r="623" spans="1:11">
      <c r="A623" s="619">
        <f t="shared" si="54"/>
        <v>28</v>
      </c>
      <c r="B623" s="1448">
        <v>283300</v>
      </c>
      <c r="C623" s="1449" t="s">
        <v>3496</v>
      </c>
      <c r="D623" s="1385">
        <v>-161942.34</v>
      </c>
      <c r="E623" s="1385">
        <v>-161942.34</v>
      </c>
      <c r="F623" s="1383">
        <v>0</v>
      </c>
      <c r="G623" s="1383">
        <v>0</v>
      </c>
      <c r="H623" s="1383">
        <v>0</v>
      </c>
      <c r="I623" s="1355"/>
      <c r="J623" s="1389" t="s">
        <v>3497</v>
      </c>
      <c r="K623" s="1417"/>
    </row>
    <row r="624" spans="1:11" ht="26.4">
      <c r="A624" s="619">
        <f t="shared" si="54"/>
        <v>29</v>
      </c>
      <c r="B624" s="1448">
        <v>283300</v>
      </c>
      <c r="C624" s="1449" t="s">
        <v>3498</v>
      </c>
      <c r="D624" s="1385">
        <v>32388.53</v>
      </c>
      <c r="E624" s="1385">
        <v>32388.53</v>
      </c>
      <c r="F624" s="1383">
        <v>0</v>
      </c>
      <c r="G624" s="1383">
        <v>0</v>
      </c>
      <c r="H624" s="1383">
        <v>0</v>
      </c>
      <c r="I624" s="1355"/>
      <c r="J624" s="1390" t="s">
        <v>3499</v>
      </c>
      <c r="K624" s="1417"/>
    </row>
    <row r="625" spans="1:11">
      <c r="A625" s="619">
        <f t="shared" si="54"/>
        <v>30</v>
      </c>
      <c r="B625" s="1448">
        <v>283300</v>
      </c>
      <c r="C625" s="1449" t="s">
        <v>3525</v>
      </c>
      <c r="D625" s="1385">
        <v>829960.95</v>
      </c>
      <c r="E625" s="1385">
        <v>829960.95</v>
      </c>
      <c r="F625" s="1383">
        <v>0</v>
      </c>
      <c r="G625" s="1383">
        <v>0</v>
      </c>
      <c r="H625" s="1383">
        <v>0</v>
      </c>
      <c r="I625" s="1355"/>
      <c r="J625" s="1390" t="s">
        <v>3501</v>
      </c>
      <c r="K625" s="1417"/>
    </row>
    <row r="626" spans="1:11" ht="26.4">
      <c r="A626" s="619">
        <f t="shared" si="54"/>
        <v>31</v>
      </c>
      <c r="B626" s="1349">
        <v>283300</v>
      </c>
      <c r="C626" s="1388" t="s">
        <v>1630</v>
      </c>
      <c r="D626" s="1383">
        <v>0</v>
      </c>
      <c r="E626" s="1385">
        <v>0</v>
      </c>
      <c r="F626" s="1383">
        <v>0</v>
      </c>
      <c r="G626" s="1383">
        <v>0</v>
      </c>
      <c r="H626" s="1383">
        <v>0</v>
      </c>
      <c r="I626" s="1355"/>
      <c r="J626" s="1390" t="s">
        <v>1629</v>
      </c>
    </row>
    <row r="627" spans="1:11" ht="39.6">
      <c r="A627" s="619">
        <f t="shared" si="54"/>
        <v>32</v>
      </c>
      <c r="B627" s="1349">
        <v>283300</v>
      </c>
      <c r="C627" s="1388" t="s">
        <v>2602</v>
      </c>
      <c r="D627" s="1383">
        <v>0</v>
      </c>
      <c r="E627" s="1385">
        <v>0</v>
      </c>
      <c r="F627" s="1383">
        <v>0</v>
      </c>
      <c r="G627" s="1383">
        <v>0</v>
      </c>
      <c r="H627" s="1383">
        <v>0</v>
      </c>
      <c r="I627" s="1355"/>
      <c r="J627" s="1390" t="s">
        <v>2605</v>
      </c>
    </row>
    <row r="628" spans="1:11">
      <c r="A628" s="619">
        <f t="shared" si="54"/>
        <v>33</v>
      </c>
      <c r="B628" s="1349">
        <v>283300</v>
      </c>
      <c r="C628" s="1388" t="s">
        <v>2603</v>
      </c>
      <c r="D628" s="1369">
        <v>692033.8</v>
      </c>
      <c r="E628" s="1369">
        <v>692033.8</v>
      </c>
      <c r="F628" s="1383">
        <v>0</v>
      </c>
      <c r="G628" s="1383">
        <v>0</v>
      </c>
      <c r="H628" s="1383">
        <v>0</v>
      </c>
      <c r="I628" s="1436"/>
      <c r="J628" s="1389" t="s">
        <v>2606</v>
      </c>
    </row>
    <row r="629" spans="1:11" ht="26.4">
      <c r="A629" s="619">
        <f t="shared" si="54"/>
        <v>34</v>
      </c>
      <c r="B629" s="1349">
        <v>283300</v>
      </c>
      <c r="C629" s="1388" t="s">
        <v>2604</v>
      </c>
      <c r="D629" s="1369">
        <v>538178.81999999995</v>
      </c>
      <c r="E629" s="1369">
        <v>538178.81999999995</v>
      </c>
      <c r="F629" s="1383">
        <v>0</v>
      </c>
      <c r="G629" s="1383">
        <v>0</v>
      </c>
      <c r="H629" s="1383">
        <v>0</v>
      </c>
      <c r="I629" s="1436"/>
      <c r="J629" s="1389" t="s">
        <v>2607</v>
      </c>
    </row>
    <row r="630" spans="1:11">
      <c r="A630" s="619">
        <f t="shared" si="54"/>
        <v>35</v>
      </c>
      <c r="B630" s="1349">
        <v>283300</v>
      </c>
      <c r="C630" s="1349" t="s">
        <v>3285</v>
      </c>
      <c r="D630" s="1369">
        <v>8477344.5700000003</v>
      </c>
      <c r="E630" s="1369">
        <v>8477344.5700000003</v>
      </c>
      <c r="F630" s="1383">
        <v>0</v>
      </c>
      <c r="G630" s="1383">
        <v>0</v>
      </c>
      <c r="H630" s="1383">
        <v>0</v>
      </c>
      <c r="I630" s="1436"/>
      <c r="J630" s="1389" t="s">
        <v>3329</v>
      </c>
    </row>
    <row r="631" spans="1:11">
      <c r="A631" s="619">
        <f t="shared" si="54"/>
        <v>36</v>
      </c>
      <c r="B631" s="1349">
        <v>283300</v>
      </c>
      <c r="C631" s="1388" t="s">
        <v>2961</v>
      </c>
      <c r="D631" s="1369">
        <v>23456630</v>
      </c>
      <c r="E631" s="1369">
        <v>23456630</v>
      </c>
      <c r="F631" s="1383">
        <v>0</v>
      </c>
      <c r="G631" s="1383">
        <v>0</v>
      </c>
      <c r="H631" s="1383">
        <v>0</v>
      </c>
      <c r="I631" s="1436"/>
      <c r="J631" s="1389" t="s">
        <v>2963</v>
      </c>
    </row>
    <row r="632" spans="1:11" ht="26.4">
      <c r="A632" s="619">
        <f t="shared" si="54"/>
        <v>37</v>
      </c>
      <c r="B632" s="1349">
        <v>283300</v>
      </c>
      <c r="C632" s="1388" t="s">
        <v>2704</v>
      </c>
      <c r="D632" s="1383">
        <v>0</v>
      </c>
      <c r="E632" s="1383">
        <v>0</v>
      </c>
      <c r="F632" s="1383">
        <v>0</v>
      </c>
      <c r="G632" s="1383">
        <v>0</v>
      </c>
      <c r="H632" s="1383">
        <v>0</v>
      </c>
      <c r="I632" s="1436"/>
      <c r="J632" s="1389" t="s">
        <v>3170</v>
      </c>
    </row>
    <row r="633" spans="1:11" ht="21" customHeight="1">
      <c r="A633" s="618"/>
      <c r="B633" s="1343"/>
      <c r="C633" s="1442" t="s">
        <v>1230</v>
      </c>
      <c r="D633" s="1399"/>
      <c r="E633" s="1399"/>
      <c r="F633" s="1399"/>
      <c r="G633" s="1399"/>
      <c r="H633" s="1341"/>
      <c r="I633" s="1397"/>
      <c r="J633" s="1423"/>
    </row>
    <row r="634" spans="1:11">
      <c r="A634" s="618">
        <f>+A632+1</f>
        <v>38</v>
      </c>
      <c r="B634" s="1349">
        <v>283321</v>
      </c>
      <c r="C634" s="1349" t="s">
        <v>3323</v>
      </c>
      <c r="D634" s="1383">
        <v>37346627.590000004</v>
      </c>
      <c r="E634" s="1383">
        <v>37346627.590000004</v>
      </c>
      <c r="F634" s="1383">
        <v>0</v>
      </c>
      <c r="G634" s="1383">
        <v>0</v>
      </c>
      <c r="H634" s="1383">
        <v>0</v>
      </c>
      <c r="I634" s="1428"/>
      <c r="J634" s="1352" t="s">
        <v>501</v>
      </c>
    </row>
    <row r="635" spans="1:11">
      <c r="A635" s="618" t="s">
        <v>476</v>
      </c>
      <c r="B635" s="1414">
        <v>283310</v>
      </c>
      <c r="C635" s="1414" t="s">
        <v>3246</v>
      </c>
      <c r="D635" s="1408">
        <v>6386097.5300000003</v>
      </c>
      <c r="E635" s="1408">
        <v>6386097.5300000003</v>
      </c>
      <c r="F635" s="1383">
        <v>0</v>
      </c>
      <c r="G635" s="1383">
        <v>0</v>
      </c>
      <c r="H635" s="1383">
        <v>0</v>
      </c>
      <c r="I635" s="1450"/>
      <c r="J635" s="1413"/>
    </row>
    <row r="636" spans="1:11" ht="21" customHeight="1">
      <c r="A636" s="618"/>
      <c r="B636" s="1343" t="s">
        <v>476</v>
      </c>
      <c r="C636" s="1442" t="s">
        <v>2741</v>
      </c>
      <c r="D636" s="1383">
        <v>0</v>
      </c>
      <c r="E636" s="1383">
        <v>0</v>
      </c>
      <c r="F636" s="1383">
        <v>0</v>
      </c>
      <c r="G636" s="1383">
        <v>0</v>
      </c>
      <c r="H636" s="1383">
        <v>0</v>
      </c>
      <c r="I636" s="1397"/>
      <c r="J636" s="1423"/>
    </row>
    <row r="637" spans="1:11">
      <c r="A637" s="618">
        <f>+A634+1</f>
        <v>39</v>
      </c>
      <c r="B637" s="1349">
        <v>283601</v>
      </c>
      <c r="C637" s="1349" t="s">
        <v>3324</v>
      </c>
      <c r="D637" s="1395">
        <v>8632466.3000000007</v>
      </c>
      <c r="E637" s="1383">
        <v>8632466.3000000007</v>
      </c>
      <c r="F637" s="1383">
        <v>0</v>
      </c>
      <c r="G637" s="1383">
        <v>0</v>
      </c>
      <c r="H637" s="1383">
        <v>0</v>
      </c>
      <c r="I637" s="1428"/>
      <c r="J637" s="1352" t="s">
        <v>2703</v>
      </c>
    </row>
    <row r="638" spans="1:11">
      <c r="A638" s="618">
        <f>+A637+1</f>
        <v>40</v>
      </c>
      <c r="B638" s="1401">
        <v>283602</v>
      </c>
      <c r="C638" s="1402" t="s">
        <v>3325</v>
      </c>
      <c r="D638" s="1403">
        <v>0.08</v>
      </c>
      <c r="E638" s="1403">
        <v>0.08</v>
      </c>
      <c r="F638" s="1383">
        <v>0</v>
      </c>
      <c r="G638" s="1383">
        <v>0</v>
      </c>
      <c r="H638" s="1383">
        <v>0</v>
      </c>
      <c r="I638" s="1404"/>
      <c r="J638" s="1401" t="s">
        <v>476</v>
      </c>
    </row>
    <row r="639" spans="1:11">
      <c r="A639" s="618">
        <f>+A638+1</f>
        <v>41</v>
      </c>
      <c r="B639" s="1401">
        <v>283603</v>
      </c>
      <c r="C639" s="1402" t="s">
        <v>3326</v>
      </c>
      <c r="D639" s="1403">
        <v>776538.59</v>
      </c>
      <c r="E639" s="1403">
        <v>776538.59</v>
      </c>
      <c r="F639" s="1383">
        <v>0</v>
      </c>
      <c r="G639" s="1383">
        <v>0</v>
      </c>
      <c r="H639" s="1383">
        <v>0</v>
      </c>
      <c r="I639" s="1404"/>
      <c r="J639" s="1401" t="s">
        <v>476</v>
      </c>
    </row>
    <row r="640" spans="1:11">
      <c r="A640" s="618">
        <f>+A639+1</f>
        <v>42</v>
      </c>
      <c r="B640" s="1401">
        <v>283604</v>
      </c>
      <c r="C640" s="1402" t="s">
        <v>3327</v>
      </c>
      <c r="D640" s="1403">
        <v>4171835.12</v>
      </c>
      <c r="E640" s="1403">
        <v>4171835.12</v>
      </c>
      <c r="F640" s="1383">
        <v>0</v>
      </c>
      <c r="G640" s="1383">
        <v>0</v>
      </c>
      <c r="H640" s="1383">
        <v>0</v>
      </c>
      <c r="I640" s="1404"/>
      <c r="J640" s="1401" t="s">
        <v>476</v>
      </c>
    </row>
    <row r="641" spans="1:11">
      <c r="A641" s="618">
        <f>+A640+1</f>
        <v>43</v>
      </c>
      <c r="B641" s="1401">
        <v>283300</v>
      </c>
      <c r="C641" s="1402" t="s">
        <v>3294</v>
      </c>
      <c r="D641" s="1403"/>
      <c r="E641" s="1403"/>
      <c r="F641" s="1403"/>
      <c r="G641" s="1403"/>
      <c r="H641" s="1403"/>
      <c r="I641" s="1404"/>
      <c r="J641" s="1401" t="s">
        <v>2703</v>
      </c>
    </row>
    <row r="642" spans="1:11">
      <c r="A642" s="504"/>
      <c r="B642" s="484"/>
      <c r="C642" s="484"/>
      <c r="D642" s="484"/>
      <c r="E642" s="484"/>
      <c r="F642" s="484"/>
      <c r="G642" s="783"/>
      <c r="H642" s="510"/>
      <c r="I642" s="484"/>
      <c r="J642" s="484"/>
    </row>
    <row r="643" spans="1:11">
      <c r="A643" s="504">
        <f>+A641+1</f>
        <v>44</v>
      </c>
      <c r="B643" s="506"/>
      <c r="C643" s="515" t="s">
        <v>2327</v>
      </c>
      <c r="D643" s="1366">
        <f>SUM(D587:D641)</f>
        <v>94849078.260000005</v>
      </c>
      <c r="E643" s="508">
        <f>SUM(E587:E641)</f>
        <v>92904822.330000013</v>
      </c>
      <c r="F643" s="508">
        <f>SUM(F587:F641)</f>
        <v>1575588.33</v>
      </c>
      <c r="G643" s="784">
        <f>SUM(G587:G641)</f>
        <v>0</v>
      </c>
      <c r="H643" s="784">
        <f>SUM(H587:H641)</f>
        <v>368667.6</v>
      </c>
      <c r="I643" s="513"/>
      <c r="J643" s="484"/>
      <c r="K643" s="528"/>
    </row>
    <row r="644" spans="1:11">
      <c r="A644" s="504">
        <f>A643+1</f>
        <v>45</v>
      </c>
      <c r="B644" s="506"/>
      <c r="C644" s="512" t="s">
        <v>507</v>
      </c>
      <c r="D644" s="775"/>
      <c r="E644" s="775"/>
      <c r="F644" s="775"/>
      <c r="G644" s="784"/>
      <c r="H644" s="784"/>
      <c r="I644" s="484"/>
      <c r="J644" s="484"/>
    </row>
    <row r="645" spans="1:11">
      <c r="A645" s="504">
        <f>A644+1</f>
        <v>46</v>
      </c>
      <c r="B645" s="506"/>
      <c r="C645" s="512" t="s">
        <v>508</v>
      </c>
      <c r="D645" s="484"/>
      <c r="E645" s="484"/>
      <c r="F645" s="484"/>
      <c r="G645" s="784"/>
      <c r="H645" s="784"/>
      <c r="I645" s="484"/>
      <c r="J645" s="484"/>
    </row>
    <row r="646" spans="1:11">
      <c r="A646" s="504">
        <f>A645+1</f>
        <v>47</v>
      </c>
      <c r="B646" s="506"/>
      <c r="C646" s="512" t="s">
        <v>468</v>
      </c>
      <c r="D646" s="784">
        <f>D643-D644-D645</f>
        <v>94849078.260000005</v>
      </c>
      <c r="E646" s="784">
        <f>E643-E644-E645</f>
        <v>92904822.330000013</v>
      </c>
      <c r="F646" s="784">
        <f>F643-F644-F645</f>
        <v>1575588.33</v>
      </c>
      <c r="G646" s="784">
        <f>G643-G644-G645</f>
        <v>0</v>
      </c>
      <c r="H646" s="784">
        <f>H643-H644-H645</f>
        <v>368667.6</v>
      </c>
      <c r="I646" s="484"/>
      <c r="J646" s="484"/>
    </row>
    <row r="647" spans="1:11">
      <c r="A647" s="504">
        <f>A646+1</f>
        <v>48</v>
      </c>
      <c r="B647" s="506"/>
      <c r="C647" s="518" t="s">
        <v>2328</v>
      </c>
      <c r="D647" s="516"/>
      <c r="E647" s="530">
        <f>E577</f>
        <v>0</v>
      </c>
      <c r="F647" s="530">
        <f>F577</f>
        <v>1</v>
      </c>
      <c r="G647" s="530">
        <f>G577</f>
        <v>0.50821559584268561</v>
      </c>
      <c r="H647" s="530">
        <f>H577</f>
        <v>0.73673230862335481</v>
      </c>
      <c r="I647" s="484"/>
      <c r="J647" s="484"/>
    </row>
    <row r="648" spans="1:11">
      <c r="A648" s="504">
        <f>A647+1</f>
        <v>49</v>
      </c>
      <c r="B648" s="506"/>
      <c r="C648" s="512" t="s">
        <v>468</v>
      </c>
      <c r="D648" s="484"/>
      <c r="E648" s="498">
        <f>E646*E647</f>
        <v>0</v>
      </c>
      <c r="F648" s="498">
        <f>F646*F647</f>
        <v>1575588.33</v>
      </c>
      <c r="G648" s="498">
        <f>G646*G647</f>
        <v>0</v>
      </c>
      <c r="H648" s="498">
        <f>H646*H647</f>
        <v>271609.3320626315</v>
      </c>
      <c r="I648" s="520">
        <f>SUM(E648:H648)</f>
        <v>1847197.6620626315</v>
      </c>
      <c r="J648" s="484" t="s">
        <v>24</v>
      </c>
    </row>
    <row r="649" spans="1:11" ht="20.399999999999999">
      <c r="A649" s="1736" t="s">
        <v>3002</v>
      </c>
      <c r="B649" s="1736"/>
      <c r="C649" s="1737"/>
      <c r="D649" s="1737"/>
      <c r="E649" s="1737"/>
      <c r="F649" s="1737"/>
      <c r="G649" s="1737"/>
      <c r="H649" s="1737"/>
      <c r="I649" s="1737"/>
      <c r="J649" s="1737"/>
    </row>
    <row r="650" spans="1:11" ht="19.2">
      <c r="A650" s="1738" t="str">
        <f>A2</f>
        <v>For Contract Year Beginning June 1, 2024, Based on 2023 Data</v>
      </c>
      <c r="B650" s="1738"/>
      <c r="C650" s="1739"/>
      <c r="D650" s="1739"/>
      <c r="E650" s="1739"/>
      <c r="F650" s="1739"/>
      <c r="G650" s="1739"/>
      <c r="H650" s="1739"/>
      <c r="I650" s="1739"/>
      <c r="J650" s="1739"/>
    </row>
    <row r="651" spans="1:11" ht="15.6">
      <c r="A651" s="488"/>
      <c r="B651" s="488"/>
      <c r="C651" s="531"/>
      <c r="D651" s="531"/>
      <c r="E651" s="531"/>
      <c r="F651" s="531"/>
      <c r="G651" s="531"/>
      <c r="H651" s="531"/>
      <c r="I651" s="531"/>
      <c r="J651" s="531"/>
    </row>
    <row r="652" spans="1:11" ht="13.8">
      <c r="A652" s="532"/>
      <c r="B652" s="532"/>
      <c r="C652" s="533"/>
      <c r="D652" s="763" t="str">
        <f t="shared" ref="D652:J652" si="55">D447</f>
        <v>(A)</v>
      </c>
      <c r="E652" s="763" t="str">
        <f t="shared" si="55"/>
        <v>(B)</v>
      </c>
      <c r="F652" s="763" t="str">
        <f t="shared" si="55"/>
        <v>(C)</v>
      </c>
      <c r="G652" s="763" t="str">
        <f t="shared" si="55"/>
        <v>(D)</v>
      </c>
      <c r="H652" s="763" t="str">
        <f t="shared" si="55"/>
        <v>(E)</v>
      </c>
      <c r="I652" s="763" t="str">
        <f t="shared" si="55"/>
        <v>(F)</v>
      </c>
      <c r="J652" s="763" t="str">
        <f t="shared" si="55"/>
        <v>(G)</v>
      </c>
    </row>
    <row r="653" spans="1:11">
      <c r="A653" s="532"/>
      <c r="B653" s="532"/>
      <c r="C653" s="510"/>
      <c r="D653" s="785"/>
      <c r="E653" s="786" t="str">
        <f t="shared" ref="E653:J655" si="56">E448</f>
        <v>100%</v>
      </c>
      <c r="F653" s="786" t="str">
        <f t="shared" si="56"/>
        <v>100%</v>
      </c>
      <c r="G653" s="763">
        <f t="shared" si="56"/>
        <v>0</v>
      </c>
      <c r="H653" s="763">
        <f t="shared" si="56"/>
        <v>0</v>
      </c>
      <c r="I653" s="763" t="str">
        <f t="shared" si="56"/>
        <v>Total</v>
      </c>
      <c r="J653" s="763" t="str">
        <f t="shared" si="56"/>
        <v xml:space="preserve"> </v>
      </c>
    </row>
    <row r="654" spans="1:11">
      <c r="A654" s="532"/>
      <c r="B654" s="532"/>
      <c r="C654" s="510"/>
      <c r="D654" s="782" t="str">
        <f>D449</f>
        <v xml:space="preserve"> </v>
      </c>
      <c r="E654" s="763" t="str">
        <f t="shared" si="56"/>
        <v>NonGeneration</v>
      </c>
      <c r="F654" s="763" t="str">
        <f t="shared" si="56"/>
        <v>Generation</v>
      </c>
      <c r="G654" s="763" t="str">
        <f t="shared" si="56"/>
        <v xml:space="preserve">Plant </v>
      </c>
      <c r="H654" s="763" t="str">
        <f t="shared" si="56"/>
        <v>Labor</v>
      </c>
      <c r="I654" s="763" t="str">
        <f t="shared" si="56"/>
        <v>Added</v>
      </c>
      <c r="J654" s="763" t="str">
        <f t="shared" si="56"/>
        <v>Description</v>
      </c>
    </row>
    <row r="655" spans="1:11">
      <c r="A655" s="532"/>
      <c r="B655" s="532"/>
      <c r="C655" s="510"/>
      <c r="D655" s="763" t="str">
        <f>D450</f>
        <v>YE Balance</v>
      </c>
      <c r="E655" s="763" t="str">
        <f t="shared" si="56"/>
        <v>Related</v>
      </c>
      <c r="F655" s="763" t="str">
        <f t="shared" si="56"/>
        <v>Related</v>
      </c>
      <c r="G655" s="763" t="str">
        <f t="shared" si="56"/>
        <v>Related</v>
      </c>
      <c r="H655" s="763" t="str">
        <f t="shared" si="56"/>
        <v>Related</v>
      </c>
      <c r="I655" s="763" t="str">
        <f t="shared" si="56"/>
        <v>to Ratebase</v>
      </c>
      <c r="J655" s="763" t="str">
        <f t="shared" si="56"/>
        <v>and Justification</v>
      </c>
    </row>
    <row r="656" spans="1:11" ht="13.8">
      <c r="A656" s="532"/>
      <c r="B656" s="532"/>
      <c r="C656" s="510"/>
      <c r="D656" s="503"/>
      <c r="E656" s="510"/>
      <c r="F656" s="510"/>
      <c r="G656" s="503"/>
      <c r="H656" s="503"/>
      <c r="I656" s="503"/>
      <c r="J656" s="503"/>
    </row>
    <row r="657" spans="1:10">
      <c r="A657" s="534" t="s">
        <v>531</v>
      </c>
      <c r="B657" s="535" t="s">
        <v>1078</v>
      </c>
      <c r="C657" s="536" t="s">
        <v>880</v>
      </c>
      <c r="D657" s="510"/>
      <c r="E657" s="510"/>
      <c r="F657" s="510"/>
      <c r="G657" s="510"/>
      <c r="H657" s="510"/>
      <c r="I657" s="510"/>
      <c r="J657" s="537"/>
    </row>
    <row r="658" spans="1:10">
      <c r="A658" s="619">
        <v>1</v>
      </c>
      <c r="B658" s="1405">
        <v>228100</v>
      </c>
      <c r="C658" s="1406" t="s">
        <v>2337</v>
      </c>
      <c r="D658" s="1451">
        <v>6779741.9100000001</v>
      </c>
      <c r="E658" s="1408">
        <v>0</v>
      </c>
      <c r="F658" s="1383">
        <v>0</v>
      </c>
      <c r="G658" s="1408"/>
      <c r="H658" s="1408">
        <v>6779741.9100000001</v>
      </c>
      <c r="I658" s="1408"/>
      <c r="J658" s="1406" t="s">
        <v>3303</v>
      </c>
    </row>
    <row r="659" spans="1:10">
      <c r="A659" s="619">
        <f>A658+1</f>
        <v>2</v>
      </c>
      <c r="B659" s="1405">
        <v>228200</v>
      </c>
      <c r="C659" s="1406" t="s">
        <v>3572</v>
      </c>
      <c r="D659" s="1451">
        <v>0</v>
      </c>
      <c r="E659" s="1408">
        <v>0</v>
      </c>
      <c r="F659" s="1383">
        <v>0</v>
      </c>
      <c r="G659" s="1383"/>
      <c r="H659" s="1408">
        <v>0</v>
      </c>
      <c r="I659" s="1409"/>
      <c r="J659" s="1406" t="s">
        <v>3304</v>
      </c>
    </row>
    <row r="660" spans="1:10">
      <c r="A660" s="619">
        <f t="shared" ref="A660:A680" si="57">A659+1</f>
        <v>3</v>
      </c>
      <c r="B660" s="1405">
        <v>228201</v>
      </c>
      <c r="C660" s="1406" t="s">
        <v>3295</v>
      </c>
      <c r="D660" s="1451">
        <v>0</v>
      </c>
      <c r="E660" s="1408">
        <v>0</v>
      </c>
      <c r="F660" s="1383">
        <v>0</v>
      </c>
      <c r="G660" s="1383"/>
      <c r="H660" s="1408">
        <v>0</v>
      </c>
      <c r="I660" s="1409"/>
      <c r="J660" s="1406" t="s">
        <v>3304</v>
      </c>
    </row>
    <row r="661" spans="1:10">
      <c r="A661" s="619">
        <f t="shared" si="57"/>
        <v>4</v>
      </c>
      <c r="B661" s="1405">
        <v>228203</v>
      </c>
      <c r="C661" s="1406" t="s">
        <v>3296</v>
      </c>
      <c r="D661" s="1451">
        <v>1367824.29</v>
      </c>
      <c r="E661" s="1411">
        <v>0</v>
      </c>
      <c r="F661" s="1383">
        <v>0</v>
      </c>
      <c r="G661" s="1411"/>
      <c r="H661" s="1408">
        <v>1367824.29</v>
      </c>
      <c r="I661" s="1412"/>
      <c r="J661" s="1406" t="s">
        <v>3305</v>
      </c>
    </row>
    <row r="662" spans="1:10">
      <c r="A662" s="619">
        <f>+A661+1</f>
        <v>5</v>
      </c>
      <c r="B662" s="1405">
        <v>228410</v>
      </c>
      <c r="C662" s="1406" t="s">
        <v>3297</v>
      </c>
      <c r="D662" s="1451">
        <v>467433.19</v>
      </c>
      <c r="E662" s="1411">
        <v>0</v>
      </c>
      <c r="F662" s="1383">
        <v>0</v>
      </c>
      <c r="G662" s="1383"/>
      <c r="H662" s="1408">
        <v>467433.19</v>
      </c>
      <c r="I662" s="1412"/>
      <c r="J662" s="1406" t="s">
        <v>3306</v>
      </c>
    </row>
    <row r="663" spans="1:10">
      <c r="A663" s="619">
        <f t="shared" si="57"/>
        <v>6</v>
      </c>
      <c r="B663" s="1414">
        <v>236501</v>
      </c>
      <c r="C663" s="1413" t="s">
        <v>3171</v>
      </c>
      <c r="D663" s="1410">
        <v>772429.71</v>
      </c>
      <c r="E663" s="1411">
        <v>0</v>
      </c>
      <c r="F663" s="1383">
        <v>0</v>
      </c>
      <c r="G663" s="1383"/>
      <c r="H663" s="1408">
        <v>772429.71</v>
      </c>
      <c r="I663" s="1412"/>
      <c r="J663" s="1413" t="s">
        <v>3171</v>
      </c>
    </row>
    <row r="664" spans="1:10">
      <c r="A664" s="619">
        <f t="shared" si="57"/>
        <v>7</v>
      </c>
      <c r="B664" s="1414">
        <v>253501</v>
      </c>
      <c r="C664" s="1413" t="s">
        <v>3172</v>
      </c>
      <c r="D664" s="1410">
        <v>29551557</v>
      </c>
      <c r="E664" s="1411">
        <v>0</v>
      </c>
      <c r="F664" s="1411">
        <v>29551557</v>
      </c>
      <c r="G664" s="1383">
        <v>0</v>
      </c>
      <c r="H664" s="1411">
        <v>0</v>
      </c>
      <c r="I664" s="1412"/>
      <c r="J664" s="1413" t="s">
        <v>3172</v>
      </c>
    </row>
    <row r="665" spans="1:10">
      <c r="A665" s="619">
        <f t="shared" si="57"/>
        <v>8</v>
      </c>
      <c r="B665" s="1452"/>
      <c r="C665" s="1453"/>
      <c r="D665" s="1453"/>
      <c r="E665" s="1453"/>
      <c r="F665" s="1453"/>
      <c r="G665" s="1453"/>
      <c r="H665" s="1453"/>
      <c r="I665" s="1453"/>
      <c r="J665" s="1453"/>
    </row>
    <row r="666" spans="1:10">
      <c r="A666" s="619">
        <f t="shared" si="57"/>
        <v>9</v>
      </c>
      <c r="B666" s="1452"/>
      <c r="C666" s="1453"/>
      <c r="D666" s="1453"/>
      <c r="E666" s="1453"/>
      <c r="F666" s="1453"/>
      <c r="G666" s="1453"/>
      <c r="H666" s="1453"/>
      <c r="I666" s="1453"/>
      <c r="J666" s="1453"/>
    </row>
    <row r="667" spans="1:10">
      <c r="A667" s="619">
        <f t="shared" si="57"/>
        <v>10</v>
      </c>
      <c r="B667" s="1397"/>
      <c r="C667" s="1423"/>
      <c r="D667" s="1454"/>
      <c r="E667" s="1454"/>
      <c r="F667" s="1454"/>
      <c r="G667" s="1455"/>
      <c r="H667" s="1454"/>
      <c r="I667" s="1456"/>
      <c r="J667" s="1423"/>
    </row>
    <row r="668" spans="1:10">
      <c r="A668" s="619">
        <f>+A667+1</f>
        <v>11</v>
      </c>
      <c r="B668" s="1397"/>
      <c r="C668" s="1457"/>
      <c r="D668" s="1454"/>
      <c r="E668" s="1454"/>
      <c r="F668" s="1454"/>
      <c r="G668" s="1455"/>
      <c r="H668" s="1454"/>
      <c r="I668" s="1456"/>
      <c r="J668" s="1416"/>
    </row>
    <row r="669" spans="1:10">
      <c r="A669" s="619">
        <f>+A668+1</f>
        <v>12</v>
      </c>
      <c r="B669" s="1397"/>
      <c r="C669" s="1423"/>
      <c r="D669" s="1454"/>
      <c r="E669" s="1454"/>
      <c r="F669" s="1454"/>
      <c r="G669" s="1455"/>
      <c r="H669" s="1454"/>
      <c r="I669" s="1456"/>
      <c r="J669" s="1423"/>
    </row>
    <row r="670" spans="1:10">
      <c r="A670" s="619">
        <f t="shared" si="57"/>
        <v>13</v>
      </c>
      <c r="B670" s="1397"/>
      <c r="C670" s="1423"/>
      <c r="D670" s="1454"/>
      <c r="E670" s="1454"/>
      <c r="F670" s="1454"/>
      <c r="G670" s="1455"/>
      <c r="H670" s="1454"/>
      <c r="I670" s="1456"/>
      <c r="J670" s="1423"/>
    </row>
    <row r="671" spans="1:10">
      <c r="A671" s="619">
        <f t="shared" si="57"/>
        <v>14</v>
      </c>
      <c r="B671" s="549"/>
      <c r="C671" s="552"/>
      <c r="D671" s="554"/>
      <c r="E671" s="554"/>
      <c r="F671" s="554"/>
      <c r="G671" s="555"/>
      <c r="H671" s="554"/>
      <c r="I671" s="556"/>
      <c r="J671" s="552"/>
    </row>
    <row r="672" spans="1:10">
      <c r="A672" s="619">
        <f t="shared" si="57"/>
        <v>15</v>
      </c>
      <c r="B672" s="549"/>
      <c r="C672" s="552"/>
      <c r="D672" s="554"/>
      <c r="E672" s="554"/>
      <c r="F672" s="554"/>
      <c r="G672" s="555"/>
      <c r="H672" s="554"/>
      <c r="I672" s="556"/>
      <c r="J672" s="552"/>
    </row>
    <row r="673" spans="1:10">
      <c r="A673" s="619">
        <f>A672+1</f>
        <v>16</v>
      </c>
      <c r="B673" s="549"/>
      <c r="C673" s="557"/>
      <c r="D673" s="554"/>
      <c r="E673" s="554"/>
      <c r="F673" s="554"/>
      <c r="G673" s="555"/>
      <c r="H673" s="554"/>
      <c r="I673" s="556"/>
      <c r="J673" s="558"/>
    </row>
    <row r="674" spans="1:10">
      <c r="A674" s="619">
        <f>A673+1</f>
        <v>17</v>
      </c>
      <c r="B674" s="549"/>
      <c r="C674" s="559"/>
      <c r="D674" s="554"/>
      <c r="E674" s="554"/>
      <c r="F674" s="554"/>
      <c r="G674" s="555"/>
      <c r="H674" s="554"/>
      <c r="I674" s="556"/>
      <c r="J674" s="552"/>
    </row>
    <row r="675" spans="1:10">
      <c r="A675" s="619">
        <f>+A674+1</f>
        <v>18</v>
      </c>
      <c r="B675" s="549"/>
      <c r="C675" s="560"/>
      <c r="D675" s="554"/>
      <c r="E675" s="554"/>
      <c r="F675" s="554"/>
      <c r="G675" s="555"/>
      <c r="H675" s="554"/>
      <c r="I675" s="556"/>
      <c r="J675" s="558"/>
    </row>
    <row r="676" spans="1:10">
      <c r="A676" s="619">
        <f>+A675+1</f>
        <v>19</v>
      </c>
      <c r="B676" s="549"/>
      <c r="C676" s="557"/>
      <c r="D676" s="554"/>
      <c r="E676" s="554"/>
      <c r="F676" s="554"/>
      <c r="G676" s="555"/>
      <c r="H676" s="554"/>
      <c r="I676" s="556"/>
      <c r="J676" s="558"/>
    </row>
    <row r="677" spans="1:10">
      <c r="A677" s="619">
        <f>+A676+1</f>
        <v>20</v>
      </c>
      <c r="B677" s="549"/>
      <c r="C677" s="557"/>
      <c r="D677" s="554"/>
      <c r="E677" s="554"/>
      <c r="F677" s="554"/>
      <c r="G677" s="555"/>
      <c r="H677" s="554"/>
      <c r="I677" s="556"/>
      <c r="J677" s="558"/>
    </row>
    <row r="678" spans="1:10">
      <c r="A678" s="619">
        <f>+A677+1</f>
        <v>21</v>
      </c>
      <c r="B678" s="549"/>
      <c r="C678" s="552"/>
      <c r="D678" s="554"/>
      <c r="E678" s="554"/>
      <c r="F678" s="554"/>
      <c r="G678" s="555"/>
      <c r="H678" s="554"/>
      <c r="I678" s="556"/>
      <c r="J678" s="552"/>
    </row>
    <row r="679" spans="1:10">
      <c r="A679" s="619">
        <f t="shared" si="57"/>
        <v>22</v>
      </c>
      <c r="B679" s="549"/>
      <c r="C679" s="552"/>
      <c r="D679" s="561"/>
      <c r="E679" s="554"/>
      <c r="F679" s="554"/>
      <c r="G679" s="562"/>
      <c r="H679" s="554"/>
      <c r="I679" s="556"/>
      <c r="J679" s="552"/>
    </row>
    <row r="680" spans="1:10">
      <c r="A680" s="505">
        <f t="shared" si="57"/>
        <v>23</v>
      </c>
      <c r="B680" s="611"/>
      <c r="C680" s="612"/>
      <c r="D680" s="755"/>
      <c r="E680" s="753"/>
      <c r="F680" s="753"/>
      <c r="G680" s="756"/>
      <c r="H680" s="753"/>
      <c r="I680" s="754"/>
      <c r="J680" s="612"/>
    </row>
    <row r="681" spans="1:10">
      <c r="A681" s="505"/>
      <c r="B681" s="510"/>
      <c r="C681" s="510"/>
      <c r="D681" s="528"/>
      <c r="E681" s="528"/>
      <c r="F681" s="528"/>
      <c r="G681" s="538"/>
      <c r="H681" s="528"/>
      <c r="I681" s="528"/>
      <c r="J681" s="510"/>
    </row>
    <row r="682" spans="1:10">
      <c r="A682" s="505">
        <f>+A680+1</f>
        <v>24</v>
      </c>
      <c r="B682" s="532"/>
      <c r="C682" s="512" t="s">
        <v>2301</v>
      </c>
      <c r="D682" s="528">
        <f>SUM(D658:D680)</f>
        <v>38938986.100000001</v>
      </c>
      <c r="E682" s="528">
        <f>SUM(E658:E680)</f>
        <v>0</v>
      </c>
      <c r="F682" s="528">
        <f>SUM(F658:F680)</f>
        <v>29551557</v>
      </c>
      <c r="G682" s="529">
        <f>SUM(G658:G680)</f>
        <v>0</v>
      </c>
      <c r="H682" s="529">
        <f>SUM(H658:H680)</f>
        <v>9387429.1000000015</v>
      </c>
      <c r="I682" s="528"/>
      <c r="J682" s="510"/>
    </row>
    <row r="683" spans="1:10">
      <c r="A683" s="505">
        <f>A682+1</f>
        <v>25</v>
      </c>
      <c r="B683" s="532"/>
      <c r="C683" s="512" t="s">
        <v>507</v>
      </c>
      <c r="D683" s="528"/>
      <c r="E683" s="528"/>
      <c r="F683" s="528"/>
      <c r="G683" s="529"/>
      <c r="H683" s="529"/>
      <c r="I683" s="528"/>
      <c r="J683" s="510"/>
    </row>
    <row r="684" spans="1:10">
      <c r="A684" s="505">
        <f>A683+1</f>
        <v>26</v>
      </c>
      <c r="B684" s="532"/>
      <c r="C684" s="512" t="s">
        <v>508</v>
      </c>
      <c r="D684" s="528"/>
      <c r="E684" s="528"/>
      <c r="F684" s="528"/>
      <c r="G684" s="529"/>
      <c r="H684" s="529"/>
      <c r="I684" s="528"/>
      <c r="J684" s="510"/>
    </row>
    <row r="685" spans="1:10">
      <c r="A685" s="505">
        <f>A684+1</f>
        <v>27</v>
      </c>
      <c r="B685" s="532"/>
      <c r="C685" s="512" t="s">
        <v>468</v>
      </c>
      <c r="D685" s="529">
        <f>D682-D683-D684</f>
        <v>38938986.100000001</v>
      </c>
      <c r="E685" s="529">
        <f>E682-E683-E684</f>
        <v>0</v>
      </c>
      <c r="F685" s="529">
        <f>F682-F683-F684</f>
        <v>29551557</v>
      </c>
      <c r="G685" s="529">
        <f>G682-G683-G684</f>
        <v>0</v>
      </c>
      <c r="H685" s="529">
        <f>H682-H683-H684</f>
        <v>9387429.1000000015</v>
      </c>
      <c r="I685" s="528"/>
      <c r="J685" s="510"/>
    </row>
    <row r="686" spans="1:10">
      <c r="A686" s="505">
        <f>A685+1</f>
        <v>28</v>
      </c>
      <c r="B686" s="532"/>
      <c r="C686" s="518" t="s">
        <v>2328</v>
      </c>
      <c r="D686" s="498"/>
      <c r="E686" s="519">
        <f>E648</f>
        <v>0</v>
      </c>
      <c r="F686" s="519">
        <v>1</v>
      </c>
      <c r="G686" s="519">
        <f>G647</f>
        <v>0.50821559584268561</v>
      </c>
      <c r="H686" s="519">
        <f>H647</f>
        <v>0.73673230862335481</v>
      </c>
      <c r="I686" s="510"/>
      <c r="J686" s="510"/>
    </row>
    <row r="687" spans="1:10">
      <c r="A687" s="505">
        <f>A686+1</f>
        <v>29</v>
      </c>
      <c r="B687" s="532"/>
      <c r="C687" s="512" t="s">
        <v>468</v>
      </c>
      <c r="D687" s="510"/>
      <c r="E687" s="498">
        <f>E685*E686</f>
        <v>0</v>
      </c>
      <c r="F687" s="498">
        <f>F685*F686</f>
        <v>29551557</v>
      </c>
      <c r="G687" s="498">
        <f>G685*G686</f>
        <v>0</v>
      </c>
      <c r="H687" s="498">
        <f>H685*H686</f>
        <v>6916022.3128810627</v>
      </c>
      <c r="I687" s="520">
        <f>SUM(E687:H687)</f>
        <v>36467579.31288106</v>
      </c>
      <c r="J687" s="510" t="s">
        <v>24</v>
      </c>
    </row>
  </sheetData>
  <sheetProtection sheet="1" objects="1" scenarios="1"/>
  <mergeCells count="26">
    <mergeCell ref="A2:J2"/>
    <mergeCell ref="A1:J1"/>
    <mergeCell ref="A62:J62"/>
    <mergeCell ref="A61:J61"/>
    <mergeCell ref="A406:J406"/>
    <mergeCell ref="A241:J241"/>
    <mergeCell ref="A242:J242"/>
    <mergeCell ref="A121:J121"/>
    <mergeCell ref="A122:J122"/>
    <mergeCell ref="A181:J181"/>
    <mergeCell ref="A182:J182"/>
    <mergeCell ref="A301:J301"/>
    <mergeCell ref="A302:J302"/>
    <mergeCell ref="A361:J361"/>
    <mergeCell ref="A362:J362"/>
    <mergeCell ref="A649:J649"/>
    <mergeCell ref="A650:J650"/>
    <mergeCell ref="A503:J503"/>
    <mergeCell ref="A407:J407"/>
    <mergeCell ref="A445:J445"/>
    <mergeCell ref="A444:J444"/>
    <mergeCell ref="A610:J610"/>
    <mergeCell ref="A609:J609"/>
    <mergeCell ref="A580:J580"/>
    <mergeCell ref="A579:J579"/>
    <mergeCell ref="A502:J502"/>
  </mergeCells>
  <phoneticPr fontId="26" type="noConversion"/>
  <printOptions horizontalCentered="1"/>
  <pageMargins left="0.25" right="0.25" top="0.84" bottom="0.5" header="0.5" footer="0.25"/>
  <pageSetup scale="56" orientation="landscape" r:id="rId1"/>
  <headerFooter alignWithMargins="0">
    <oddHeader>&amp;C&amp;"Times New Roman,Bold"&amp;16ATTACHMENT D, Page &amp;P of &amp;N
EVERGY</oddHeader>
    <oddFooter>&amp;R&amp;1#&amp;"Calibri"&amp;10&amp;KA80000Internal Use Only</oddFooter>
  </headerFooter>
  <rowBreaks count="11" manualBreakCount="11">
    <brk id="60" max="9" man="1"/>
    <brk id="120" max="9" man="1"/>
    <brk id="180" max="9" man="1"/>
    <brk id="240" max="9" man="1"/>
    <brk id="300" max="9" man="1"/>
    <brk id="405" max="9" man="1"/>
    <brk id="443" max="9" man="1"/>
    <brk id="501" max="9" man="1"/>
    <brk id="578" max="9" man="1"/>
    <brk id="608" max="9" man="1"/>
    <brk id="648"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J28"/>
  <sheetViews>
    <sheetView view="pageBreakPreview" zoomScaleNormal="100" zoomScaleSheetLayoutView="100" workbookViewId="0">
      <selection sqref="A1:J1"/>
    </sheetView>
  </sheetViews>
  <sheetFormatPr defaultColWidth="9.109375" defaultRowHeight="13.2"/>
  <cols>
    <col min="1" max="3" width="15.6640625" style="19" customWidth="1"/>
    <col min="4" max="4" width="11.6640625" style="19" customWidth="1"/>
    <col min="5" max="9" width="15.6640625" style="19" customWidth="1"/>
    <col min="10" max="10" width="9.6640625" style="19" customWidth="1"/>
    <col min="11" max="16384" width="9.109375" style="19"/>
  </cols>
  <sheetData>
    <row r="1" spans="1:10" ht="20.399999999999999">
      <c r="A1" s="1713" t="s">
        <v>85</v>
      </c>
      <c r="B1" s="1713"/>
      <c r="C1" s="1713"/>
      <c r="D1" s="1713"/>
      <c r="E1" s="1713"/>
      <c r="F1" s="1713"/>
      <c r="G1" s="1713"/>
      <c r="H1" s="1713"/>
      <c r="I1" s="1713"/>
      <c r="J1" s="1713"/>
    </row>
    <row r="2" spans="1:10" ht="19.2">
      <c r="A2" s="1725" t="str">
        <f>'Item 2,  Demand Chg. Calc.'!2:2</f>
        <v>For Contract Year Beginning June 1, 2024, Based on 2023 Data</v>
      </c>
      <c r="B2" s="1725"/>
      <c r="C2" s="1725"/>
      <c r="D2" s="1725"/>
      <c r="E2" s="1725"/>
      <c r="F2" s="1725"/>
      <c r="G2" s="1725"/>
      <c r="H2" s="1725"/>
      <c r="I2" s="1725"/>
      <c r="J2" s="1725"/>
    </row>
    <row r="3" spans="1:10" ht="17.399999999999999">
      <c r="A3" s="641"/>
      <c r="B3" s="641"/>
      <c r="C3" s="641"/>
      <c r="D3" s="641"/>
      <c r="E3" s="641"/>
      <c r="F3" s="641"/>
      <c r="G3" s="641"/>
      <c r="H3" s="641"/>
      <c r="I3" s="641"/>
      <c r="J3" s="641"/>
    </row>
    <row r="4" spans="1:10" ht="18">
      <c r="A4" s="787" t="s">
        <v>1270</v>
      </c>
      <c r="B4" s="667"/>
      <c r="C4" s="667"/>
      <c r="D4" s="667"/>
      <c r="E4" s="667"/>
      <c r="F4" s="667"/>
      <c r="G4" s="788" t="s">
        <v>2892</v>
      </c>
      <c r="H4" s="789" t="s">
        <v>2893</v>
      </c>
      <c r="I4" s="790" t="s">
        <v>468</v>
      </c>
      <c r="J4" s="641"/>
    </row>
    <row r="5" spans="1:10" ht="18">
      <c r="A5" s="667" t="s">
        <v>244</v>
      </c>
      <c r="B5" s="667"/>
      <c r="C5" s="667"/>
      <c r="D5" s="667"/>
      <c r="E5" s="667"/>
      <c r="F5" s="667"/>
      <c r="G5" s="791"/>
      <c r="H5" s="791"/>
      <c r="I5" s="792">
        <f>'Item 3, Rate Base'!G22/1000</f>
        <v>8262209.9194260882</v>
      </c>
      <c r="J5" s="793"/>
    </row>
    <row r="6" spans="1:10" ht="18">
      <c r="A6" s="667" t="s">
        <v>242</v>
      </c>
      <c r="B6" s="667"/>
      <c r="C6" s="667"/>
      <c r="D6" s="667"/>
      <c r="E6" s="667"/>
      <c r="F6" s="667"/>
      <c r="G6" s="794">
        <f>('Form 1 Inputs'!D39)/1000</f>
        <v>8736824.0419999994</v>
      </c>
      <c r="H6" s="794">
        <f>('Form 1 Inputs'!E39)/1000</f>
        <v>7520469.0970000001</v>
      </c>
      <c r="I6" s="794">
        <f>G6+H6</f>
        <v>16257293.138999999</v>
      </c>
      <c r="J6" s="793"/>
    </row>
    <row r="7" spans="1:10" ht="18">
      <c r="A7" s="795" t="s">
        <v>222</v>
      </c>
      <c r="B7" s="667"/>
      <c r="C7" s="667"/>
      <c r="D7" s="667"/>
      <c r="E7" s="667"/>
      <c r="F7" s="663"/>
      <c r="G7" s="644"/>
      <c r="H7" s="663"/>
      <c r="I7" s="796">
        <f>I5/I6</f>
        <v>0.50821559584268561</v>
      </c>
      <c r="J7" s="793"/>
    </row>
    <row r="8" spans="1:10" ht="18">
      <c r="A8" s="667"/>
      <c r="B8" s="667"/>
      <c r="C8" s="667"/>
      <c r="D8" s="667"/>
      <c r="E8" s="667"/>
      <c r="F8" s="667"/>
      <c r="G8" s="644"/>
      <c r="H8" s="644"/>
      <c r="I8" s="797"/>
      <c r="J8" s="793"/>
    </row>
    <row r="9" spans="1:10" ht="18">
      <c r="A9" s="787" t="s">
        <v>1271</v>
      </c>
      <c r="B9" s="667"/>
      <c r="C9" s="644"/>
      <c r="D9" s="644"/>
      <c r="E9" s="644"/>
      <c r="F9" s="644"/>
      <c r="G9" s="644"/>
      <c r="H9" s="644"/>
      <c r="I9" s="797"/>
      <c r="J9" s="793"/>
    </row>
    <row r="10" spans="1:10" ht="18">
      <c r="A10" s="667" t="s">
        <v>226</v>
      </c>
      <c r="B10" s="667"/>
      <c r="C10" s="644"/>
      <c r="D10" s="644"/>
      <c r="E10" s="644"/>
      <c r="F10" s="644"/>
      <c r="G10" s="644"/>
      <c r="H10" s="644"/>
      <c r="I10" s="798">
        <f>'Item 3, Rate Base'!G22/1000</f>
        <v>8262209.9194260882</v>
      </c>
      <c r="J10" s="793"/>
    </row>
    <row r="11" spans="1:10" ht="18">
      <c r="A11" s="667" t="s">
        <v>243</v>
      </c>
      <c r="B11" s="667"/>
      <c r="C11" s="644"/>
      <c r="D11" s="644"/>
      <c r="E11" s="644"/>
      <c r="F11" s="644"/>
      <c r="G11" s="644"/>
      <c r="H11" s="644"/>
      <c r="I11" s="799">
        <f>'Item 3, Rate Base'!G29/1000</f>
        <v>3391437.647063531</v>
      </c>
      <c r="J11" s="793"/>
    </row>
    <row r="12" spans="1:10" ht="18">
      <c r="A12" s="795" t="s">
        <v>223</v>
      </c>
      <c r="B12" s="667"/>
      <c r="C12" s="644"/>
      <c r="D12" s="644"/>
      <c r="E12" s="644"/>
      <c r="F12" s="644"/>
      <c r="G12" s="663"/>
      <c r="H12" s="663"/>
      <c r="I12" s="800">
        <f>I10-I11</f>
        <v>4870772.2723625572</v>
      </c>
      <c r="J12" s="793"/>
    </row>
    <row r="13" spans="1:10" ht="20.399999999999999">
      <c r="A13" s="801"/>
      <c r="B13" s="667"/>
      <c r="C13" s="644"/>
      <c r="D13" s="644"/>
      <c r="E13" s="644"/>
      <c r="F13" s="644"/>
      <c r="G13" s="644"/>
      <c r="H13" s="644"/>
      <c r="I13" s="798"/>
      <c r="J13" s="793"/>
    </row>
    <row r="14" spans="1:10" ht="18">
      <c r="A14" s="667" t="s">
        <v>227</v>
      </c>
      <c r="B14" s="667"/>
      <c r="C14" s="644"/>
      <c r="D14" s="644"/>
      <c r="E14" s="644"/>
      <c r="F14" s="644"/>
      <c r="G14" s="644"/>
      <c r="H14" s="644"/>
      <c r="I14" s="798">
        <f>I6</f>
        <v>16257293.138999999</v>
      </c>
      <c r="J14" s="793"/>
    </row>
    <row r="15" spans="1:10" ht="18">
      <c r="A15" s="667" t="s">
        <v>245</v>
      </c>
      <c r="B15" s="667"/>
      <c r="C15" s="644"/>
      <c r="D15" s="644"/>
      <c r="E15" s="644"/>
      <c r="F15" s="644"/>
      <c r="G15" s="802">
        <f>('Form 1 Inputs'!D47)/1000</f>
        <v>2638535.682</v>
      </c>
      <c r="H15" s="802">
        <f>('Form 1 Inputs'!E47)/1000</f>
        <v>2330889.1009999998</v>
      </c>
      <c r="I15" s="803">
        <f>G15+H15</f>
        <v>4969424.7829999998</v>
      </c>
      <c r="J15" s="793"/>
    </row>
    <row r="16" spans="1:10" ht="18">
      <c r="A16" s="795" t="s">
        <v>224</v>
      </c>
      <c r="B16" s="667"/>
      <c r="C16" s="644"/>
      <c r="D16" s="644"/>
      <c r="E16" s="644"/>
      <c r="F16" s="663"/>
      <c r="G16" s="644"/>
      <c r="H16" s="663"/>
      <c r="I16" s="800">
        <f>I14-I15</f>
        <v>11287868.355999999</v>
      </c>
      <c r="J16" s="793"/>
    </row>
    <row r="17" spans="1:10" ht="18">
      <c r="A17" s="667"/>
      <c r="B17" s="667"/>
      <c r="C17" s="644"/>
      <c r="D17" s="644"/>
      <c r="E17" s="644"/>
      <c r="F17" s="644"/>
      <c r="G17" s="644"/>
      <c r="H17" s="644"/>
      <c r="I17" s="804"/>
      <c r="J17" s="793"/>
    </row>
    <row r="18" spans="1:10" ht="18">
      <c r="A18" s="795" t="s">
        <v>225</v>
      </c>
      <c r="B18" s="667"/>
      <c r="C18" s="663"/>
      <c r="D18" s="644"/>
      <c r="E18" s="644"/>
      <c r="F18" s="644"/>
      <c r="G18" s="644"/>
      <c r="H18" s="663"/>
      <c r="I18" s="796">
        <f>I12/I16</f>
        <v>0.43150505646830362</v>
      </c>
      <c r="J18" s="793"/>
    </row>
    <row r="19" spans="1:10" ht="18">
      <c r="A19" s="667"/>
      <c r="B19" s="667"/>
      <c r="C19" s="667"/>
      <c r="D19" s="667"/>
      <c r="E19" s="667"/>
      <c r="F19" s="667"/>
      <c r="G19" s="644"/>
      <c r="H19" s="644"/>
      <c r="I19" s="805"/>
      <c r="J19" s="805"/>
    </row>
    <row r="20" spans="1:10" ht="18">
      <c r="A20" s="787" t="s">
        <v>538</v>
      </c>
      <c r="B20" s="667"/>
      <c r="C20" s="644"/>
      <c r="D20" s="644"/>
      <c r="E20" s="788" t="s">
        <v>2892</v>
      </c>
      <c r="F20" s="788" t="s">
        <v>2893</v>
      </c>
      <c r="G20" s="788"/>
      <c r="H20" s="788"/>
      <c r="I20" s="788" t="s">
        <v>470</v>
      </c>
      <c r="J20" s="788" t="s">
        <v>471</v>
      </c>
    </row>
    <row r="21" spans="1:10" ht="18">
      <c r="A21" s="667" t="s">
        <v>246</v>
      </c>
      <c r="B21" s="667"/>
      <c r="C21" s="644"/>
      <c r="D21" s="644"/>
      <c r="E21" s="806">
        <f>'Form 1 Inputs'!D115</f>
        <v>29796237</v>
      </c>
      <c r="F21" s="806">
        <f>'Form 1 Inputs'!E115</f>
        <v>51553690</v>
      </c>
      <c r="G21" s="1227"/>
      <c r="H21" s="1228"/>
      <c r="I21" s="807">
        <f>SUM(E21:H21)</f>
        <v>81349927</v>
      </c>
      <c r="J21" s="808">
        <f>I21/$I$25</f>
        <v>0.73673230862335481</v>
      </c>
    </row>
    <row r="22" spans="1:10" ht="18">
      <c r="A22" s="667" t="s">
        <v>247</v>
      </c>
      <c r="B22" s="667"/>
      <c r="C22" s="644"/>
      <c r="D22" s="644"/>
      <c r="E22" s="806">
        <f>'Form 1 Inputs'!D116</f>
        <v>3970128</v>
      </c>
      <c r="F22" s="806">
        <f>'Form 1 Inputs'!E116</f>
        <v>1897736</v>
      </c>
      <c r="G22" s="809"/>
      <c r="H22" s="792"/>
      <c r="I22" s="792">
        <f>SUM(E22:H22)</f>
        <v>5867864</v>
      </c>
      <c r="J22" s="810">
        <f>I22/$I$25</f>
        <v>5.3141350592826875E-2</v>
      </c>
    </row>
    <row r="23" spans="1:10" ht="18">
      <c r="A23" s="667" t="s">
        <v>248</v>
      </c>
      <c r="B23" s="667"/>
      <c r="C23" s="644"/>
      <c r="D23" s="644"/>
      <c r="E23" s="806">
        <f>'Form 1 Inputs'!D117</f>
        <v>6361030</v>
      </c>
      <c r="F23" s="806">
        <f>'Form 1 Inputs'!E117</f>
        <v>4149249</v>
      </c>
      <c r="G23" s="809"/>
      <c r="H23" s="792"/>
      <c r="I23" s="792">
        <f>SUM(E23:H23)</f>
        <v>10510279</v>
      </c>
      <c r="J23" s="810">
        <f>I23/$I$25</f>
        <v>9.5184622746441613E-2</v>
      </c>
    </row>
    <row r="24" spans="1:10" ht="18">
      <c r="A24" s="667" t="s">
        <v>2268</v>
      </c>
      <c r="B24" s="667"/>
      <c r="C24" s="644"/>
      <c r="D24" s="644"/>
      <c r="E24" s="811">
        <f>'Form 1 Inputs'!D118+'Form 1 Inputs'!D119+'Form 1 Inputs'!D120</f>
        <v>6791570</v>
      </c>
      <c r="F24" s="811">
        <f>'Form 1 Inputs'!E118+'Form 1 Inputs'!E119+'Form 1 Inputs'!E120</f>
        <v>5900286</v>
      </c>
      <c r="G24" s="812"/>
      <c r="H24" s="813"/>
      <c r="I24" s="813">
        <f>SUM(E24:H24)</f>
        <v>12691856</v>
      </c>
      <c r="J24" s="814">
        <f>I24/$I$25</f>
        <v>0.1149417180373767</v>
      </c>
    </row>
    <row r="25" spans="1:10" ht="18">
      <c r="A25" s="667" t="s">
        <v>1210</v>
      </c>
      <c r="B25" s="667"/>
      <c r="C25" s="644"/>
      <c r="D25" s="644"/>
      <c r="E25" s="815">
        <f t="shared" ref="E25:J25" si="0">SUM(E21:E24)</f>
        <v>46918965</v>
      </c>
      <c r="F25" s="815">
        <f t="shared" si="0"/>
        <v>63500961</v>
      </c>
      <c r="G25" s="815"/>
      <c r="H25" s="815"/>
      <c r="I25" s="815">
        <f t="shared" si="0"/>
        <v>110419926</v>
      </c>
      <c r="J25" s="816">
        <f t="shared" si="0"/>
        <v>1</v>
      </c>
    </row>
    <row r="26" spans="1:10" ht="18">
      <c r="A26" s="667"/>
      <c r="B26" s="667"/>
      <c r="C26" s="644"/>
      <c r="D26" s="644"/>
      <c r="E26" s="644"/>
      <c r="F26" s="644"/>
      <c r="G26" s="644"/>
      <c r="H26" s="644"/>
      <c r="I26" s="817"/>
      <c r="J26" s="810"/>
    </row>
    <row r="27" spans="1:10" ht="18">
      <c r="A27" s="668"/>
      <c r="B27" s="818"/>
      <c r="C27" s="818"/>
      <c r="D27" s="818"/>
      <c r="E27" s="818"/>
      <c r="F27" s="818"/>
      <c r="G27" s="818"/>
      <c r="H27" s="818"/>
      <c r="I27" s="818"/>
      <c r="J27" s="818"/>
    </row>
    <row r="28" spans="1:10" ht="18">
      <c r="A28" s="153"/>
    </row>
  </sheetData>
  <sheetProtection sheet="1"/>
  <mergeCells count="2">
    <mergeCell ref="A1:J1"/>
    <mergeCell ref="A2:J2"/>
  </mergeCells>
  <phoneticPr fontId="0" type="noConversion"/>
  <printOptions horizontalCentered="1"/>
  <pageMargins left="0.75" right="0.5" top="1.36" bottom="0.25" header="1" footer="0.5"/>
  <pageSetup scale="64" orientation="portrait" r:id="rId1"/>
  <headerFooter alignWithMargins="0">
    <oddHeader>&amp;C&amp;"Times New Roman,Bold"&amp;16ATTACHMENT D, Page &amp;P of &amp;N
EVERGY</oddHeader>
    <oddFooter>&amp;R&amp;1#&amp;"Calibri"&amp;10&amp;KA80000Internal Use 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BA316"/>
  <sheetViews>
    <sheetView view="pageBreakPreview" zoomScale="90" zoomScaleNormal="100" zoomScaleSheetLayoutView="90" workbookViewId="0">
      <selection sqref="A1:G1"/>
    </sheetView>
  </sheetViews>
  <sheetFormatPr defaultColWidth="9.109375" defaultRowHeight="13.2"/>
  <cols>
    <col min="1" max="1" width="7.6640625" style="19" customWidth="1"/>
    <col min="2" max="2" width="19.6640625" style="19" customWidth="1"/>
    <col min="3" max="3" width="17.109375" style="19" customWidth="1"/>
    <col min="4" max="5" width="15.6640625" style="19" customWidth="1"/>
    <col min="6" max="6" width="20.6640625" style="19" customWidth="1"/>
    <col min="7" max="7" width="16.6640625" style="19" bestFit="1" customWidth="1"/>
    <col min="8" max="31" width="10.6640625" style="19" customWidth="1"/>
    <col min="32" max="16384" width="9.109375" style="19"/>
  </cols>
  <sheetData>
    <row r="1" spans="1:53" ht="39.6" customHeight="1">
      <c r="A1" s="1745" t="s">
        <v>1450</v>
      </c>
      <c r="B1" s="1745"/>
      <c r="C1" s="1745"/>
      <c r="D1" s="1745"/>
      <c r="E1" s="1745"/>
      <c r="F1" s="1745"/>
      <c r="G1" s="1745"/>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row>
    <row r="2" spans="1:53" ht="19.2">
      <c r="A2" s="1725" t="str">
        <f>' Net Monthly Bill'!A2:B2</f>
        <v>For Contract Year Beginning June 1, 2024, Based on 2023 Data</v>
      </c>
      <c r="B2" s="1725"/>
      <c r="C2" s="1725"/>
      <c r="D2" s="1725"/>
      <c r="E2" s="1725"/>
      <c r="F2" s="1725"/>
      <c r="G2" s="1725"/>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row>
    <row r="3" spans="1:53" ht="15.75" customHeight="1">
      <c r="A3" s="641"/>
      <c r="B3" s="641"/>
      <c r="C3" s="641"/>
      <c r="D3" s="641"/>
      <c r="E3" s="641"/>
      <c r="F3" s="641"/>
      <c r="G3" s="641"/>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row>
    <row r="4" spans="1:53" ht="19.5" customHeight="1">
      <c r="A4" s="1702" t="s">
        <v>1272</v>
      </c>
      <c r="B4" s="1718"/>
      <c r="C4" s="1718"/>
      <c r="D4" s="1718"/>
      <c r="E4" s="1718"/>
      <c r="F4" s="1718"/>
      <c r="G4" s="1718"/>
      <c r="H4" s="100"/>
      <c r="I4" s="100"/>
      <c r="J4" s="100"/>
      <c r="K4" s="100"/>
      <c r="L4" s="100"/>
      <c r="M4" s="100"/>
      <c r="N4" s="100"/>
      <c r="O4" s="100"/>
      <c r="P4" s="100"/>
      <c r="Q4" s="100"/>
      <c r="R4" s="100"/>
      <c r="S4" s="100"/>
      <c r="T4" s="100"/>
      <c r="U4" s="100"/>
      <c r="V4" s="100"/>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row>
    <row r="5" spans="1:53" ht="15.75" customHeight="1">
      <c r="A5" s="714"/>
      <c r="B5" s="714"/>
      <c r="C5" s="714"/>
      <c r="D5" s="663"/>
      <c r="E5" s="819"/>
      <c r="F5" s="820"/>
      <c r="G5" s="641"/>
      <c r="H5" s="26"/>
      <c r="I5" s="26"/>
      <c r="J5" s="26"/>
      <c r="K5" s="26"/>
      <c r="L5" s="26"/>
      <c r="M5" s="26"/>
      <c r="N5" s="26"/>
      <c r="O5" s="26"/>
      <c r="P5" s="26"/>
      <c r="Q5" s="26"/>
      <c r="R5" s="26"/>
      <c r="S5" s="26"/>
      <c r="T5" s="133"/>
      <c r="U5" s="133"/>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row>
    <row r="6" spans="1:53" ht="15.75" customHeight="1">
      <c r="A6" s="787" t="s">
        <v>3003</v>
      </c>
      <c r="B6" s="642"/>
      <c r="C6" s="714"/>
      <c r="D6" s="663"/>
      <c r="E6" s="819"/>
      <c r="F6" s="820"/>
      <c r="G6" s="641"/>
      <c r="H6" s="26"/>
      <c r="I6" s="26"/>
      <c r="J6" s="26"/>
      <c r="K6" s="26"/>
      <c r="L6" s="26"/>
      <c r="M6" s="26"/>
      <c r="N6" s="26"/>
      <c r="O6" s="26"/>
      <c r="P6" s="26"/>
      <c r="Q6" s="26"/>
      <c r="R6" s="26"/>
      <c r="S6" s="26"/>
      <c r="T6" s="133"/>
      <c r="U6" s="133"/>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row>
    <row r="7" spans="1:53" ht="20.399999999999999">
      <c r="A7" s="667" t="s">
        <v>2232</v>
      </c>
      <c r="B7" s="821"/>
      <c r="C7" s="711"/>
      <c r="D7" s="643"/>
      <c r="E7" s="663"/>
      <c r="F7" s="643"/>
      <c r="G7" s="822">
        <f>'Form 1 Inputs'!D69</f>
        <v>85545107</v>
      </c>
      <c r="H7" s="26"/>
      <c r="I7" s="26"/>
      <c r="J7" s="26"/>
      <c r="K7" s="26"/>
      <c r="L7" s="26"/>
      <c r="M7" s="26"/>
      <c r="N7" s="26"/>
      <c r="O7" s="26"/>
      <c r="P7" s="26"/>
      <c r="Q7" s="26"/>
      <c r="R7" s="26"/>
      <c r="S7" s="26"/>
      <c r="T7" s="133"/>
      <c r="U7" s="133"/>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row>
    <row r="8" spans="1:53" ht="20.399999999999999">
      <c r="A8" s="667" t="s">
        <v>1254</v>
      </c>
      <c r="B8" s="821"/>
      <c r="C8" s="711"/>
      <c r="D8" s="643"/>
      <c r="E8" s="663"/>
      <c r="F8" s="643"/>
      <c r="G8" s="822">
        <f>'Form 1 Inputs'!D123+'Form 1 Inputs'!D124+'Form 1 Inputs'!D125+'Form 1 Inputs'!D126+'Form 1 Inputs'!D127</f>
        <v>0</v>
      </c>
      <c r="H8" s="26"/>
      <c r="I8" s="26"/>
      <c r="J8" s="26"/>
      <c r="K8" s="26"/>
      <c r="L8" s="26"/>
      <c r="M8" s="26"/>
      <c r="N8" s="26"/>
      <c r="O8" s="26"/>
      <c r="P8" s="26"/>
      <c r="Q8" s="26"/>
      <c r="R8" s="26"/>
      <c r="S8" s="26"/>
      <c r="T8" s="133"/>
      <c r="U8" s="133"/>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row>
    <row r="9" spans="1:53" ht="20.399999999999999">
      <c r="A9" s="667" t="s">
        <v>2238</v>
      </c>
      <c r="B9" s="821"/>
      <c r="C9" s="711"/>
      <c r="D9" s="643"/>
      <c r="E9" s="663"/>
      <c r="F9" s="643"/>
      <c r="G9" s="823">
        <f>G65/2</f>
        <v>3895860</v>
      </c>
      <c r="H9" s="26"/>
      <c r="I9" s="26"/>
      <c r="J9" s="26"/>
      <c r="K9" s="26"/>
      <c r="L9" s="26"/>
      <c r="M9" s="26"/>
      <c r="N9" s="26"/>
      <c r="O9" s="26"/>
      <c r="P9" s="26"/>
      <c r="Q9" s="26"/>
      <c r="R9" s="26"/>
      <c r="S9" s="26"/>
      <c r="T9" s="133"/>
      <c r="U9" s="133"/>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row>
    <row r="10" spans="1:53" ht="18">
      <c r="A10" s="793"/>
      <c r="B10" s="824" t="s">
        <v>3004</v>
      </c>
      <c r="C10" s="711"/>
      <c r="D10" s="643"/>
      <c r="E10" s="825"/>
      <c r="F10" s="826"/>
      <c r="G10" s="827">
        <f>SUM(G7:G9)</f>
        <v>89440967</v>
      </c>
      <c r="H10" s="26"/>
      <c r="I10" s="26"/>
      <c r="J10" s="26"/>
      <c r="K10" s="26"/>
      <c r="L10" s="26"/>
      <c r="M10" s="26"/>
      <c r="N10" s="26"/>
      <c r="O10" s="26"/>
      <c r="P10" s="26"/>
      <c r="Q10" s="26"/>
      <c r="R10" s="26"/>
      <c r="S10" s="26"/>
      <c r="T10" s="133"/>
      <c r="U10" s="133"/>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row>
    <row r="11" spans="1:53" ht="15.75" customHeight="1">
      <c r="A11" s="821"/>
      <c r="B11" s="644"/>
      <c r="C11" s="644"/>
      <c r="D11" s="644"/>
      <c r="E11" s="643"/>
      <c r="F11" s="642"/>
      <c r="G11" s="792"/>
      <c r="H11" s="26"/>
      <c r="I11" s="26"/>
      <c r="J11" s="26"/>
      <c r="K11" s="26"/>
      <c r="L11" s="26"/>
      <c r="M11" s="26"/>
      <c r="N11" s="26"/>
      <c r="O11" s="26"/>
      <c r="P11" s="26"/>
      <c r="Q11" s="26"/>
      <c r="R11" s="26"/>
      <c r="S11" s="26"/>
      <c r="T11" s="133"/>
      <c r="U11" s="133"/>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row>
    <row r="12" spans="1:53" ht="15.75" customHeight="1">
      <c r="A12" s="787" t="s">
        <v>3005</v>
      </c>
      <c r="B12" s="667"/>
      <c r="C12" s="667"/>
      <c r="D12" s="644"/>
      <c r="E12" s="819"/>
      <c r="F12" s="820"/>
      <c r="G12" s="828"/>
      <c r="H12" s="26"/>
      <c r="I12" s="26"/>
      <c r="J12" s="26"/>
      <c r="K12" s="26"/>
      <c r="L12" s="26"/>
      <c r="M12" s="26"/>
      <c r="N12" s="26"/>
      <c r="O12" s="26"/>
      <c r="P12" s="26"/>
      <c r="Q12" s="26"/>
      <c r="R12" s="26"/>
      <c r="S12" s="26"/>
      <c r="T12" s="133"/>
      <c r="U12" s="133"/>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row>
    <row r="13" spans="1:53" ht="20.399999999999999">
      <c r="A13" s="667" t="s">
        <v>2232</v>
      </c>
      <c r="B13" s="821"/>
      <c r="C13" s="829"/>
      <c r="D13" s="644"/>
      <c r="E13" s="663"/>
      <c r="F13" s="643"/>
      <c r="G13" s="822">
        <f>'Form 1 Inputs'!E69</f>
        <v>331710</v>
      </c>
      <c r="H13" s="26"/>
      <c r="I13" s="26"/>
      <c r="J13" s="26"/>
      <c r="K13" s="26"/>
      <c r="L13" s="26"/>
      <c r="M13" s="26"/>
      <c r="N13" s="26"/>
      <c r="O13" s="26"/>
      <c r="P13" s="26"/>
      <c r="Q13" s="26"/>
      <c r="R13" s="26"/>
      <c r="S13" s="26"/>
      <c r="T13" s="133"/>
      <c r="U13" s="133"/>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row>
    <row r="14" spans="1:53" ht="20.399999999999999">
      <c r="A14" s="667" t="s">
        <v>1254</v>
      </c>
      <c r="B14" s="821"/>
      <c r="C14" s="829"/>
      <c r="D14" s="644"/>
      <c r="E14" s="663"/>
      <c r="F14" s="643"/>
      <c r="G14" s="822">
        <f>'Form 1 Inputs'!E123+'Form 1 Inputs'!E124+'Form 1 Inputs'!E125+'Form 1 Inputs'!E126+'Form 1 Inputs'!E127</f>
        <v>0</v>
      </c>
      <c r="H14" s="26"/>
      <c r="I14" s="26"/>
      <c r="J14" s="26"/>
      <c r="K14" s="26"/>
      <c r="L14" s="26"/>
      <c r="M14" s="26"/>
      <c r="N14" s="26"/>
      <c r="O14" s="26"/>
      <c r="P14" s="26"/>
      <c r="Q14" s="26"/>
      <c r="R14" s="26"/>
      <c r="S14" s="26"/>
      <c r="T14" s="133"/>
      <c r="U14" s="133"/>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row>
    <row r="15" spans="1:53" ht="20.399999999999999">
      <c r="A15" s="667" t="s">
        <v>2238</v>
      </c>
      <c r="B15" s="821"/>
      <c r="C15" s="829"/>
      <c r="D15" s="644"/>
      <c r="E15" s="663"/>
      <c r="F15" s="643"/>
      <c r="G15" s="823">
        <f>G65/2</f>
        <v>3895860</v>
      </c>
      <c r="H15" s="26"/>
      <c r="I15" s="26"/>
      <c r="J15" s="26"/>
      <c r="K15" s="26"/>
      <c r="L15" s="26"/>
      <c r="M15" s="26"/>
      <c r="N15" s="26"/>
      <c r="O15" s="26"/>
      <c r="P15" s="26"/>
      <c r="Q15" s="26"/>
      <c r="R15" s="26"/>
      <c r="S15" s="26"/>
      <c r="T15" s="133"/>
      <c r="U15" s="133"/>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row>
    <row r="16" spans="1:53" ht="18">
      <c r="A16" s="793"/>
      <c r="B16" s="824" t="s">
        <v>3006</v>
      </c>
      <c r="C16" s="829"/>
      <c r="D16" s="644"/>
      <c r="E16" s="825"/>
      <c r="F16" s="826"/>
      <c r="G16" s="827">
        <f>SUM(G13:G15)</f>
        <v>4227570</v>
      </c>
      <c r="H16" s="26"/>
      <c r="I16" s="26"/>
      <c r="J16" s="26"/>
      <c r="K16" s="26"/>
      <c r="L16" s="26"/>
      <c r="M16" s="26"/>
      <c r="N16" s="26"/>
      <c r="O16" s="26"/>
      <c r="P16" s="26"/>
      <c r="Q16" s="26"/>
      <c r="R16" s="26"/>
      <c r="S16" s="26"/>
      <c r="T16" s="133"/>
      <c r="U16" s="133"/>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row>
    <row r="17" spans="1:53" ht="15.75" customHeight="1">
      <c r="A17" s="793"/>
      <c r="B17" s="824"/>
      <c r="C17" s="829"/>
      <c r="D17" s="644"/>
      <c r="E17" s="825"/>
      <c r="F17" s="826"/>
      <c r="G17" s="827"/>
      <c r="H17" s="26"/>
      <c r="I17" s="26"/>
      <c r="J17" s="26"/>
      <c r="K17" s="26"/>
      <c r="L17" s="26"/>
      <c r="M17" s="26"/>
      <c r="N17" s="26"/>
      <c r="O17" s="26"/>
      <c r="P17" s="26"/>
      <c r="Q17" s="26"/>
      <c r="R17" s="26"/>
      <c r="S17" s="26"/>
      <c r="T17" s="133"/>
      <c r="U17" s="133"/>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row>
    <row r="18" spans="1:53" ht="15.75" customHeight="1">
      <c r="A18" s="793"/>
      <c r="B18" s="824" t="s">
        <v>881</v>
      </c>
      <c r="C18" s="829"/>
      <c r="D18" s="644"/>
      <c r="E18" s="830" t="s">
        <v>2236</v>
      </c>
      <c r="F18" s="826"/>
      <c r="G18" s="719">
        <f>G10+G16</f>
        <v>93668537</v>
      </c>
      <c r="H18" s="26"/>
      <c r="I18" s="26"/>
      <c r="J18" s="26"/>
      <c r="K18" s="26"/>
      <c r="L18" s="26"/>
      <c r="M18" s="26"/>
      <c r="N18" s="26"/>
      <c r="O18" s="26"/>
      <c r="P18" s="26"/>
      <c r="Q18" s="26"/>
      <c r="R18" s="26"/>
      <c r="S18" s="26"/>
      <c r="T18" s="133"/>
      <c r="U18" s="133"/>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row>
    <row r="19" spans="1:53" ht="15.75" customHeight="1">
      <c r="A19" s="821"/>
      <c r="B19" s="644"/>
      <c r="C19" s="644"/>
      <c r="D19" s="644"/>
      <c r="E19" s="643"/>
      <c r="F19" s="642"/>
      <c r="G19" s="792"/>
      <c r="H19" s="26"/>
      <c r="I19" s="26"/>
      <c r="J19" s="26"/>
      <c r="K19" s="26"/>
      <c r="L19" s="26"/>
      <c r="M19" s="26"/>
      <c r="N19" s="26"/>
      <c r="O19" s="26"/>
      <c r="P19" s="26"/>
      <c r="Q19" s="26"/>
      <c r="R19" s="26"/>
      <c r="S19" s="26"/>
      <c r="T19" s="133"/>
      <c r="U19" s="133"/>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row>
    <row r="20" spans="1:53" ht="18">
      <c r="A20" s="787" t="s">
        <v>1242</v>
      </c>
      <c r="B20" s="644"/>
      <c r="C20" s="644"/>
      <c r="D20" s="644"/>
      <c r="E20" s="643"/>
      <c r="F20" s="642"/>
      <c r="G20" s="827"/>
      <c r="H20" s="26"/>
      <c r="I20" s="26"/>
      <c r="J20" s="26"/>
      <c r="K20" s="26"/>
      <c r="L20" s="26"/>
      <c r="M20" s="26"/>
      <c r="N20" s="26"/>
      <c r="O20" s="26"/>
      <c r="P20" s="26"/>
      <c r="Q20" s="26"/>
      <c r="R20" s="26"/>
      <c r="S20" s="26"/>
      <c r="T20" s="133"/>
      <c r="U20" s="133"/>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row>
    <row r="21" spans="1:53" ht="15.75" customHeight="1">
      <c r="A21" s="668" t="s">
        <v>1950</v>
      </c>
      <c r="B21" s="831"/>
      <c r="C21" s="818"/>
      <c r="D21" s="818"/>
      <c r="E21" s="832"/>
      <c r="F21" s="730"/>
      <c r="G21" s="833">
        <f>'Wrksht. M, VOM Revenue Credit'!D50</f>
        <v>2376458.7091921805</v>
      </c>
      <c r="H21" s="26"/>
      <c r="I21" s="26"/>
      <c r="J21" s="26"/>
      <c r="K21" s="26"/>
      <c r="L21" s="26"/>
      <c r="M21" s="26"/>
      <c r="N21" s="26"/>
      <c r="O21" s="26"/>
      <c r="P21" s="26"/>
      <c r="Q21" s="26"/>
      <c r="R21" s="26"/>
      <c r="S21" s="26"/>
      <c r="T21" s="133"/>
      <c r="U21" s="133"/>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row>
    <row r="22" spans="1:53" ht="20.399999999999999">
      <c r="A22" s="667" t="s">
        <v>2237</v>
      </c>
      <c r="B22" s="821"/>
      <c r="C22" s="644"/>
      <c r="D22" s="644"/>
      <c r="E22" s="643"/>
      <c r="F22" s="642"/>
      <c r="G22" s="1590">
        <v>13808904</v>
      </c>
      <c r="H22" s="26"/>
      <c r="I22" s="26"/>
      <c r="J22" s="26"/>
      <c r="K22" s="26"/>
      <c r="L22" s="26"/>
      <c r="M22" s="26"/>
      <c r="N22" s="26"/>
      <c r="O22" s="26"/>
      <c r="P22" s="26"/>
      <c r="Q22" s="26"/>
      <c r="R22" s="26"/>
      <c r="S22" s="26"/>
      <c r="T22" s="133"/>
      <c r="U22" s="133"/>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row>
    <row r="23" spans="1:53" ht="18">
      <c r="A23" s="793"/>
      <c r="B23" s="824" t="s">
        <v>2233</v>
      </c>
      <c r="C23" s="644"/>
      <c r="D23" s="644"/>
      <c r="E23" s="667" t="s">
        <v>2234</v>
      </c>
      <c r="F23" s="642"/>
      <c r="G23" s="719">
        <f>G21+G22</f>
        <v>16185362.709192181</v>
      </c>
      <c r="H23" s="26"/>
      <c r="I23" s="26"/>
      <c r="J23" s="26"/>
      <c r="K23" s="26"/>
      <c r="L23" s="26"/>
      <c r="M23" s="26"/>
      <c r="N23" s="26"/>
      <c r="O23" s="26"/>
      <c r="P23" s="26"/>
      <c r="Q23" s="26"/>
      <c r="R23" s="26"/>
      <c r="S23" s="26"/>
      <c r="T23" s="133"/>
      <c r="U23" s="133"/>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row>
    <row r="24" spans="1:53" ht="15.75" customHeight="1">
      <c r="A24" s="660"/>
      <c r="B24" s="663"/>
      <c r="C24" s="663"/>
      <c r="D24" s="643"/>
      <c r="E24" s="642"/>
      <c r="F24" s="642"/>
      <c r="G24" s="643"/>
      <c r="H24" s="26"/>
      <c r="I24" s="26"/>
      <c r="J24" s="26"/>
      <c r="K24" s="26"/>
      <c r="L24" s="26"/>
      <c r="M24" s="26"/>
      <c r="N24" s="26"/>
      <c r="O24" s="26"/>
      <c r="P24" s="26"/>
      <c r="Q24" s="26"/>
      <c r="R24" s="26"/>
      <c r="S24" s="26"/>
      <c r="T24" s="133"/>
      <c r="U24" s="133"/>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row>
    <row r="25" spans="1:53" ht="15.75" customHeight="1">
      <c r="A25" s="1702" t="s">
        <v>16</v>
      </c>
      <c r="B25" s="1746"/>
      <c r="C25" s="1746"/>
      <c r="D25" s="1746"/>
      <c r="E25" s="1746"/>
      <c r="F25" s="1746"/>
      <c r="G25" s="1746"/>
      <c r="H25" s="26"/>
      <c r="I25" s="26"/>
      <c r="J25" s="26"/>
      <c r="K25" s="26"/>
      <c r="L25" s="26"/>
      <c r="M25" s="26"/>
      <c r="N25" s="26"/>
      <c r="O25" s="26"/>
      <c r="P25" s="26"/>
      <c r="Q25" s="26"/>
      <c r="R25" s="26"/>
      <c r="S25" s="26"/>
      <c r="T25" s="133"/>
      <c r="U25" s="133"/>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row>
    <row r="26" spans="1:53" ht="15.75" customHeight="1">
      <c r="A26" s="641"/>
      <c r="B26" s="834"/>
      <c r="C26" s="834"/>
      <c r="D26" s="834"/>
      <c r="E26" s="834"/>
      <c r="F26" s="834"/>
      <c r="G26" s="834"/>
      <c r="H26" s="26"/>
      <c r="I26" s="26"/>
      <c r="J26" s="26"/>
      <c r="K26" s="26"/>
      <c r="L26" s="26"/>
      <c r="M26" s="26"/>
      <c r="N26" s="26"/>
      <c r="O26" s="26"/>
      <c r="P26" s="26"/>
      <c r="Q26" s="26"/>
      <c r="R26" s="26"/>
      <c r="S26" s="26"/>
      <c r="T26" s="133"/>
      <c r="U26" s="133"/>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row>
    <row r="27" spans="1:53" s="378" customFormat="1" ht="15.75" customHeight="1">
      <c r="A27" s="835" t="s">
        <v>1273</v>
      </c>
      <c r="B27" s="730"/>
      <c r="C27" s="836"/>
      <c r="D27" s="836"/>
      <c r="E27" s="836"/>
      <c r="F27" s="836"/>
      <c r="G27" s="836"/>
      <c r="H27" s="25"/>
      <c r="I27" s="25"/>
      <c r="J27" s="25"/>
      <c r="K27" s="25"/>
      <c r="L27" s="25"/>
      <c r="M27" s="25"/>
      <c r="N27" s="25"/>
      <c r="O27" s="25"/>
      <c r="P27" s="25"/>
      <c r="Q27" s="25"/>
      <c r="R27" s="25"/>
      <c r="S27" s="25"/>
      <c r="T27" s="381"/>
      <c r="U27" s="381"/>
      <c r="V27" s="382"/>
      <c r="W27" s="382"/>
      <c r="X27" s="382"/>
      <c r="Y27" s="382"/>
      <c r="Z27" s="382"/>
      <c r="AA27" s="382"/>
      <c r="AB27" s="382"/>
      <c r="AC27" s="382"/>
      <c r="AD27" s="382"/>
      <c r="AE27" s="382"/>
      <c r="AF27" s="382"/>
      <c r="AG27" s="382"/>
      <c r="AH27" s="382"/>
      <c r="AI27" s="382"/>
      <c r="AJ27" s="382"/>
      <c r="AK27" s="382"/>
      <c r="AL27" s="382"/>
      <c r="AM27" s="382"/>
      <c r="AN27" s="382"/>
      <c r="AO27" s="382"/>
      <c r="AP27" s="382"/>
      <c r="AQ27" s="382"/>
      <c r="AR27" s="382"/>
      <c r="AS27" s="382"/>
      <c r="AT27" s="382"/>
      <c r="AU27" s="382"/>
      <c r="AV27" s="382"/>
      <c r="AW27" s="382"/>
      <c r="AX27" s="382"/>
      <c r="AY27" s="382"/>
      <c r="AZ27" s="382"/>
      <c r="BA27" s="382"/>
    </row>
    <row r="28" spans="1:53" s="378" customFormat="1" ht="15.75" customHeight="1">
      <c r="A28" s="835"/>
      <c r="B28" s="730"/>
      <c r="C28" s="836"/>
      <c r="D28" s="836"/>
      <c r="E28" s="836"/>
      <c r="F28" s="836"/>
      <c r="G28" s="836"/>
      <c r="H28" s="25"/>
      <c r="I28" s="25"/>
      <c r="J28" s="25"/>
      <c r="K28" s="25"/>
      <c r="L28" s="25"/>
      <c r="M28" s="25"/>
      <c r="N28" s="25"/>
      <c r="O28" s="25"/>
      <c r="P28" s="25"/>
      <c r="Q28" s="25"/>
      <c r="R28" s="25"/>
      <c r="S28" s="25"/>
      <c r="T28" s="381"/>
      <c r="U28" s="381"/>
      <c r="V28" s="382"/>
      <c r="W28" s="382"/>
      <c r="X28" s="382"/>
      <c r="Y28" s="382"/>
      <c r="Z28" s="382"/>
      <c r="AA28" s="382"/>
      <c r="AB28" s="382"/>
      <c r="AC28" s="382"/>
      <c r="AD28" s="382"/>
      <c r="AE28" s="382"/>
      <c r="AF28" s="382"/>
      <c r="AG28" s="382"/>
      <c r="AH28" s="382"/>
      <c r="AI28" s="382"/>
      <c r="AJ28" s="382"/>
      <c r="AK28" s="382"/>
      <c r="AL28" s="382"/>
      <c r="AM28" s="382"/>
      <c r="AN28" s="382"/>
      <c r="AO28" s="382"/>
      <c r="AP28" s="382"/>
      <c r="AQ28" s="382"/>
      <c r="AR28" s="382"/>
      <c r="AS28" s="382"/>
      <c r="AT28" s="382"/>
      <c r="AU28" s="382"/>
      <c r="AV28" s="382"/>
      <c r="AW28" s="382"/>
      <c r="AX28" s="382"/>
      <c r="AY28" s="382"/>
      <c r="AZ28" s="382"/>
      <c r="BA28" s="382"/>
    </row>
    <row r="29" spans="1:53" s="378" customFormat="1" ht="18">
      <c r="A29" s="669"/>
      <c r="B29" s="668" t="s">
        <v>3007</v>
      </c>
      <c r="C29" s="818"/>
      <c r="D29" s="818"/>
      <c r="E29" s="818"/>
      <c r="F29" s="668"/>
      <c r="G29" s="818"/>
      <c r="H29" s="25"/>
      <c r="I29" s="25"/>
      <c r="J29" s="25"/>
      <c r="K29" s="25"/>
      <c r="L29" s="25"/>
      <c r="M29" s="25"/>
      <c r="N29" s="25"/>
      <c r="O29" s="25"/>
      <c r="P29" s="25"/>
      <c r="Q29" s="25"/>
      <c r="R29" s="25"/>
      <c r="S29" s="25"/>
      <c r="T29" s="381"/>
      <c r="U29" s="381"/>
      <c r="V29" s="382"/>
      <c r="W29" s="382"/>
      <c r="X29" s="382"/>
      <c r="Y29" s="382"/>
      <c r="Z29" s="382"/>
      <c r="AA29" s="382"/>
      <c r="AB29" s="382"/>
      <c r="AC29" s="382"/>
      <c r="AD29" s="382"/>
      <c r="AE29" s="382"/>
      <c r="AF29" s="382"/>
      <c r="AG29" s="382"/>
      <c r="AH29" s="382"/>
      <c r="AI29" s="382"/>
      <c r="AJ29" s="382"/>
      <c r="AK29" s="382"/>
      <c r="AL29" s="382"/>
      <c r="AM29" s="382"/>
      <c r="AN29" s="382"/>
      <c r="AO29" s="382"/>
      <c r="AP29" s="382"/>
      <c r="AQ29" s="382"/>
      <c r="AR29" s="382"/>
      <c r="AS29" s="382"/>
      <c r="AT29" s="382"/>
      <c r="AU29" s="382"/>
      <c r="AV29" s="382"/>
      <c r="AW29" s="382"/>
      <c r="AX29" s="382"/>
      <c r="AY29" s="382"/>
      <c r="AZ29" s="382"/>
      <c r="BA29" s="382"/>
    </row>
    <row r="30" spans="1:53" s="378" customFormat="1" ht="20.399999999999999">
      <c r="A30" s="669"/>
      <c r="B30" s="668" t="s">
        <v>2239</v>
      </c>
      <c r="C30" s="818"/>
      <c r="D30" s="818"/>
      <c r="E30" s="818"/>
      <c r="F30" s="668"/>
      <c r="G30" s="818"/>
      <c r="H30" s="25"/>
      <c r="I30" s="25"/>
      <c r="J30" s="25"/>
      <c r="K30" s="25"/>
      <c r="L30" s="25"/>
      <c r="M30" s="25"/>
      <c r="N30" s="25"/>
      <c r="O30" s="25"/>
      <c r="P30" s="25"/>
      <c r="Q30" s="25"/>
      <c r="R30" s="25"/>
      <c r="S30" s="25"/>
      <c r="T30" s="381"/>
      <c r="U30" s="381"/>
      <c r="V30" s="382"/>
      <c r="W30" s="382"/>
      <c r="X30" s="382"/>
      <c r="Y30" s="382"/>
      <c r="Z30" s="382"/>
      <c r="AA30" s="382"/>
      <c r="AB30" s="382"/>
      <c r="AC30" s="382"/>
      <c r="AD30" s="382"/>
      <c r="AE30" s="382"/>
      <c r="AF30" s="382"/>
      <c r="AG30" s="382"/>
      <c r="AH30" s="382"/>
      <c r="AI30" s="382"/>
      <c r="AJ30" s="382"/>
      <c r="AK30" s="382"/>
      <c r="AL30" s="382"/>
      <c r="AM30" s="382"/>
      <c r="AN30" s="382"/>
      <c r="AO30" s="382"/>
      <c r="AP30" s="382"/>
      <c r="AQ30" s="382"/>
      <c r="AR30" s="382"/>
      <c r="AS30" s="382"/>
      <c r="AT30" s="382"/>
      <c r="AU30" s="382"/>
      <c r="AV30" s="382"/>
      <c r="AW30" s="382"/>
      <c r="AX30" s="382"/>
      <c r="AY30" s="382"/>
      <c r="AZ30" s="382"/>
      <c r="BA30" s="382"/>
    </row>
    <row r="31" spans="1:53" ht="20.399999999999999">
      <c r="A31" s="831"/>
      <c r="B31" s="837" t="s">
        <v>92</v>
      </c>
      <c r="C31" s="837" t="s">
        <v>2892</v>
      </c>
      <c r="D31" s="837" t="s">
        <v>2893</v>
      </c>
      <c r="E31" s="837" t="s">
        <v>468</v>
      </c>
      <c r="F31" s="644"/>
      <c r="G31" s="818"/>
      <c r="H31" s="26"/>
      <c r="I31" s="26"/>
      <c r="J31" s="26"/>
      <c r="K31" s="26"/>
      <c r="L31" s="26"/>
      <c r="M31" s="26"/>
      <c r="N31" s="26"/>
      <c r="O31" s="26"/>
      <c r="P31" s="26"/>
      <c r="Q31" s="26"/>
      <c r="R31" s="26"/>
      <c r="S31" s="26"/>
      <c r="T31" s="133"/>
      <c r="U31" s="133"/>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row>
    <row r="32" spans="1:53" ht="15.75" customHeight="1">
      <c r="A32" s="838"/>
      <c r="B32" s="1591">
        <v>44957.333333333336</v>
      </c>
      <c r="C32" s="1592">
        <v>1558.8266048699998</v>
      </c>
      <c r="D32" s="1592">
        <v>1371.3007061000001</v>
      </c>
      <c r="E32" s="1292">
        <f t="shared" ref="E32:E43" si="0">SUM(C32:D32)</f>
        <v>2930.1273109699996</v>
      </c>
      <c r="F32" s="644"/>
      <c r="G32" s="818"/>
      <c r="H32" s="26"/>
      <c r="I32" s="26"/>
      <c r="J32" s="26"/>
      <c r="K32" s="26"/>
      <c r="L32" s="26"/>
      <c r="M32" s="26"/>
      <c r="N32" s="26"/>
      <c r="O32" s="26"/>
      <c r="P32" s="26"/>
      <c r="Q32" s="26"/>
      <c r="R32" s="26"/>
      <c r="S32" s="26"/>
      <c r="T32" s="133"/>
      <c r="U32" s="133"/>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row>
    <row r="33" spans="1:53" ht="15.75" customHeight="1">
      <c r="A33" s="839"/>
      <c r="B33" s="1591">
        <v>44958.333333333336</v>
      </c>
      <c r="C33" s="1592">
        <v>1543.0082587500001</v>
      </c>
      <c r="D33" s="1592">
        <v>1349.0419967</v>
      </c>
      <c r="E33" s="1292">
        <f t="shared" si="0"/>
        <v>2892.0502554499999</v>
      </c>
      <c r="F33" s="644"/>
      <c r="G33" s="818"/>
      <c r="H33" s="26"/>
      <c r="I33" s="25"/>
      <c r="J33" s="26"/>
      <c r="K33" s="26"/>
      <c r="L33" s="26"/>
      <c r="M33" s="26"/>
      <c r="N33" s="26"/>
      <c r="O33" s="26"/>
      <c r="P33" s="26"/>
      <c r="Q33" s="26"/>
      <c r="R33" s="26"/>
      <c r="S33" s="26"/>
      <c r="T33" s="133"/>
      <c r="U33" s="133"/>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row>
    <row r="34" spans="1:53" ht="15.75" customHeight="1">
      <c r="A34" s="839"/>
      <c r="B34" s="1591">
        <v>44998.416666666664</v>
      </c>
      <c r="C34" s="1592">
        <v>1341.39850013</v>
      </c>
      <c r="D34" s="1592">
        <v>1175.9584153000001</v>
      </c>
      <c r="E34" s="1292">
        <f t="shared" si="0"/>
        <v>2517.3569154300003</v>
      </c>
      <c r="F34" s="644"/>
      <c r="G34" s="818"/>
      <c r="H34" s="26"/>
      <c r="I34" s="26"/>
      <c r="J34" s="26"/>
      <c r="K34" s="26"/>
      <c r="L34" s="26"/>
      <c r="M34" s="26"/>
      <c r="N34" s="26"/>
      <c r="O34" s="26"/>
      <c r="P34" s="26"/>
      <c r="Q34" s="26"/>
      <c r="R34" s="26"/>
      <c r="S34" s="26"/>
      <c r="T34" s="133"/>
      <c r="U34" s="133"/>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row>
    <row r="35" spans="1:53" ht="15.75" customHeight="1">
      <c r="A35" s="839"/>
      <c r="B35" s="1591">
        <v>45035.75</v>
      </c>
      <c r="C35" s="1592">
        <v>1343.1840095699999</v>
      </c>
      <c r="D35" s="1592">
        <v>1383.9317624999999</v>
      </c>
      <c r="E35" s="1292">
        <f t="shared" si="0"/>
        <v>2727.1157720699998</v>
      </c>
      <c r="F35" s="644"/>
      <c r="G35" s="818"/>
      <c r="H35" s="26"/>
      <c r="I35" s="26"/>
      <c r="J35" s="26"/>
      <c r="K35" s="26"/>
      <c r="L35" s="26"/>
      <c r="M35" s="26"/>
      <c r="N35" s="26"/>
      <c r="O35" s="26"/>
      <c r="P35" s="26"/>
      <c r="Q35" s="26"/>
      <c r="R35" s="26"/>
      <c r="S35" s="26"/>
      <c r="T35" s="133"/>
      <c r="U35" s="133"/>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row>
    <row r="36" spans="1:53" ht="15.75" customHeight="1">
      <c r="A36" s="839"/>
      <c r="B36" s="1591">
        <v>45076.666666666664</v>
      </c>
      <c r="C36" s="1592">
        <v>1752.2131842600002</v>
      </c>
      <c r="D36" s="1592">
        <v>1712.3031242</v>
      </c>
      <c r="E36" s="1292">
        <f t="shared" si="0"/>
        <v>3464.5163084599999</v>
      </c>
      <c r="F36" s="644"/>
      <c r="G36" s="818"/>
      <c r="H36" s="26"/>
      <c r="I36" s="26"/>
      <c r="J36" s="26"/>
      <c r="K36" s="26"/>
      <c r="L36" s="26"/>
      <c r="M36" s="26"/>
      <c r="N36" s="26"/>
      <c r="O36" s="26"/>
      <c r="P36" s="26"/>
      <c r="Q36" s="26"/>
      <c r="R36" s="26"/>
      <c r="S36" s="26"/>
      <c r="T36" s="133"/>
      <c r="U36" s="133"/>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row>
    <row r="37" spans="1:53" ht="15.75" customHeight="1">
      <c r="A37" s="839"/>
      <c r="B37" s="1591">
        <v>45106.708333333336</v>
      </c>
      <c r="C37" s="1592">
        <v>2255.0748361200003</v>
      </c>
      <c r="D37" s="1592">
        <v>2166.3820857000001</v>
      </c>
      <c r="E37" s="1292">
        <f t="shared" si="0"/>
        <v>4421.4569218200004</v>
      </c>
      <c r="F37" s="644"/>
      <c r="G37" s="818"/>
      <c r="H37" s="26"/>
      <c r="I37" s="26"/>
      <c r="J37" s="26"/>
      <c r="K37" s="26"/>
      <c r="L37" s="26"/>
      <c r="M37" s="26"/>
      <c r="N37" s="26"/>
      <c r="O37" s="26"/>
      <c r="P37" s="26"/>
      <c r="Q37" s="26"/>
      <c r="R37" s="26"/>
      <c r="S37" s="26"/>
      <c r="T37" s="133"/>
      <c r="U37" s="133"/>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row>
    <row r="38" spans="1:53" ht="15.75" customHeight="1">
      <c r="A38" s="840"/>
      <c r="B38" s="1591">
        <v>45133.708333333336</v>
      </c>
      <c r="C38" s="1592">
        <v>2464.77111036</v>
      </c>
      <c r="D38" s="1592">
        <v>2117.2919939999997</v>
      </c>
      <c r="E38" s="1292">
        <f t="shared" si="0"/>
        <v>4582.0631043599997</v>
      </c>
      <c r="F38" s="644"/>
      <c r="G38" s="818"/>
      <c r="H38" s="26"/>
      <c r="I38" s="26"/>
      <c r="J38" s="26"/>
      <c r="K38" s="26"/>
      <c r="L38" s="26"/>
      <c r="M38" s="26"/>
      <c r="N38" s="26"/>
      <c r="O38" s="26"/>
      <c r="P38" s="26"/>
      <c r="Q38" s="26"/>
      <c r="R38" s="26"/>
      <c r="S38" s="26"/>
      <c r="T38" s="26"/>
      <c r="U38" s="26"/>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row>
    <row r="39" spans="1:53" ht="15.75" customHeight="1">
      <c r="A39" s="840"/>
      <c r="B39" s="1591">
        <v>45159.708333333336</v>
      </c>
      <c r="C39" s="1592">
        <v>2568.0510289699996</v>
      </c>
      <c r="D39" s="1592">
        <v>2324.2498949000001</v>
      </c>
      <c r="E39" s="1292">
        <f t="shared" si="0"/>
        <v>4892.3009238699997</v>
      </c>
      <c r="F39" s="644"/>
      <c r="G39" s="818"/>
      <c r="H39" s="26"/>
      <c r="I39" s="26"/>
      <c r="J39" s="26"/>
      <c r="K39" s="26"/>
      <c r="L39" s="26"/>
      <c r="M39" s="26"/>
      <c r="N39" s="26"/>
      <c r="O39" s="26"/>
      <c r="P39" s="26"/>
      <c r="Q39" s="26"/>
      <c r="R39" s="26"/>
      <c r="S39" s="26"/>
      <c r="T39" s="26"/>
      <c r="U39" s="26"/>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row>
    <row r="40" spans="1:53" ht="15.75" customHeight="1">
      <c r="A40" s="840"/>
      <c r="B40" s="1591">
        <v>45174.708333333336</v>
      </c>
      <c r="C40" s="1592">
        <v>2176.23572934</v>
      </c>
      <c r="D40" s="1592">
        <v>2071.8060055999999</v>
      </c>
      <c r="E40" s="1292">
        <f t="shared" si="0"/>
        <v>4248.0417349399995</v>
      </c>
      <c r="F40" s="644"/>
      <c r="G40" s="818"/>
      <c r="H40" s="26"/>
      <c r="I40" s="26"/>
      <c r="J40" s="26"/>
      <c r="K40" s="26"/>
      <c r="L40" s="26"/>
      <c r="M40" s="26"/>
      <c r="N40" s="26"/>
      <c r="O40" s="26"/>
      <c r="P40" s="26"/>
      <c r="Q40" s="26"/>
      <c r="R40" s="26"/>
      <c r="S40" s="26"/>
      <c r="T40" s="26"/>
      <c r="U40" s="26"/>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row>
    <row r="41" spans="1:53" ht="15.75" customHeight="1">
      <c r="A41" s="840"/>
      <c r="B41" s="1591">
        <v>45201.708333333336</v>
      </c>
      <c r="C41" s="1592">
        <v>1866.3951772299997</v>
      </c>
      <c r="D41" s="1592">
        <v>1683.1037223999999</v>
      </c>
      <c r="E41" s="1292">
        <f t="shared" si="0"/>
        <v>3549.4988996299999</v>
      </c>
      <c r="F41" s="644"/>
      <c r="G41" s="818"/>
      <c r="H41" s="26"/>
      <c r="I41" s="26"/>
      <c r="J41" s="26"/>
      <c r="K41" s="26"/>
      <c r="L41" s="26"/>
      <c r="M41" s="26"/>
      <c r="N41" s="26"/>
      <c r="O41" s="26"/>
      <c r="P41" s="26"/>
      <c r="Q41" s="26"/>
      <c r="R41" s="26"/>
      <c r="S41" s="26"/>
      <c r="T41" s="26"/>
      <c r="U41" s="26"/>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row>
    <row r="42" spans="1:53" ht="15.75" customHeight="1">
      <c r="A42" s="840"/>
      <c r="B42" s="1591">
        <v>45258.333333333336</v>
      </c>
      <c r="C42" s="1592">
        <v>1396.3598567299998</v>
      </c>
      <c r="D42" s="1592">
        <v>1209.5726881000001</v>
      </c>
      <c r="E42" s="1292">
        <f t="shared" si="0"/>
        <v>2605.9325448299996</v>
      </c>
      <c r="F42" s="644"/>
      <c r="G42" s="818"/>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row>
    <row r="43" spans="1:53" ht="15.75" customHeight="1">
      <c r="A43" s="840"/>
      <c r="B43" s="1591">
        <v>45279.375</v>
      </c>
      <c r="C43" s="1592">
        <v>1327.1202087199999</v>
      </c>
      <c r="D43" s="1592">
        <v>1266.5328950000001</v>
      </c>
      <c r="E43" s="841">
        <f t="shared" si="0"/>
        <v>2593.6531037200002</v>
      </c>
      <c r="F43" s="644"/>
      <c r="G43" s="818"/>
      <c r="H43" s="26"/>
      <c r="I43" s="26"/>
      <c r="J43" s="26"/>
      <c r="K43" s="26"/>
      <c r="L43" s="26"/>
      <c r="M43" s="26"/>
      <c r="N43" s="26"/>
      <c r="O43" s="26"/>
      <c r="P43" s="26"/>
      <c r="Q43" s="26"/>
      <c r="R43" s="26"/>
      <c r="S43" s="26"/>
      <c r="T43" s="26"/>
      <c r="U43" s="26"/>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row>
    <row r="44" spans="1:53" ht="15.75" customHeight="1">
      <c r="A44" s="818"/>
      <c r="B44" s="829" t="s">
        <v>468</v>
      </c>
      <c r="C44" s="842">
        <f>SUM(C32:C43)</f>
        <v>21592.638505049996</v>
      </c>
      <c r="D44" s="842">
        <f>SUM(D32:D43)</f>
        <v>19831.475290499999</v>
      </c>
      <c r="E44" s="842">
        <f>SUM(E32:E43)</f>
        <v>41424.113795550002</v>
      </c>
      <c r="F44" s="842"/>
      <c r="G44" s="818"/>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row>
    <row r="45" spans="1:53" ht="15.75" customHeight="1">
      <c r="A45" s="818"/>
      <c r="B45" s="829" t="s">
        <v>752</v>
      </c>
      <c r="C45" s="842">
        <f>C44/12</f>
        <v>1799.3865420874997</v>
      </c>
      <c r="D45" s="842">
        <f>D44/12</f>
        <v>1652.6229408749998</v>
      </c>
      <c r="E45" s="843">
        <f>E44/12</f>
        <v>3452.0094829625</v>
      </c>
      <c r="F45" s="844" t="s">
        <v>2235</v>
      </c>
      <c r="G45" s="818"/>
      <c r="H45" s="1747"/>
      <c r="I45" s="1747"/>
      <c r="J45" s="1747"/>
      <c r="K45" s="1747"/>
      <c r="L45" s="1747"/>
      <c r="M45" s="1747"/>
      <c r="N45" s="1747"/>
      <c r="O45" s="1747"/>
      <c r="P45" s="1747"/>
      <c r="Q45" s="1747"/>
      <c r="R45" s="1747"/>
      <c r="S45" s="1747"/>
      <c r="T45" s="1747"/>
      <c r="U45" s="174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row>
    <row r="46" spans="1:53" s="125" customFormat="1" ht="12" customHeight="1">
      <c r="A46" s="818"/>
      <c r="B46" s="845"/>
      <c r="C46" s="846"/>
      <c r="D46" s="846"/>
      <c r="E46" s="847"/>
      <c r="F46" s="848"/>
      <c r="G46" s="818"/>
      <c r="H46" s="101"/>
      <c r="I46" s="101"/>
      <c r="J46" s="101"/>
      <c r="K46" s="101"/>
      <c r="L46" s="101"/>
      <c r="M46" s="101"/>
      <c r="N46" s="101"/>
      <c r="O46" s="101"/>
      <c r="P46" s="101"/>
      <c r="Q46" s="101"/>
      <c r="R46" s="101"/>
      <c r="S46" s="101"/>
      <c r="T46" s="102"/>
      <c r="U46" s="102"/>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row>
    <row r="47" spans="1:53" ht="18">
      <c r="A47" s="787" t="s">
        <v>17</v>
      </c>
      <c r="B47" s="829"/>
      <c r="C47" s="842"/>
      <c r="D47" s="842"/>
      <c r="E47" s="849"/>
      <c r="F47" s="850"/>
      <c r="G47" s="644"/>
      <c r="H47" s="26"/>
      <c r="I47" s="26"/>
      <c r="J47" s="26"/>
      <c r="K47" s="26"/>
      <c r="L47" s="26"/>
      <c r="M47" s="26"/>
      <c r="N47" s="26"/>
      <c r="O47" s="26"/>
      <c r="P47" s="26"/>
      <c r="Q47" s="26"/>
      <c r="R47" s="26"/>
      <c r="S47" s="26"/>
      <c r="T47" s="26"/>
      <c r="U47" s="26"/>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row>
    <row r="48" spans="1:53" ht="13.2" customHeight="1">
      <c r="A48" s="667"/>
      <c r="B48" s="829"/>
      <c r="C48" s="842"/>
      <c r="D48" s="842"/>
      <c r="E48" s="849"/>
      <c r="F48" s="850"/>
      <c r="G48" s="644"/>
      <c r="H48" s="26"/>
      <c r="I48" s="26"/>
      <c r="J48" s="26"/>
      <c r="K48" s="26"/>
      <c r="L48" s="26"/>
      <c r="M48" s="26"/>
      <c r="N48" s="26"/>
      <c r="O48" s="26"/>
      <c r="P48" s="26"/>
      <c r="Q48" s="26"/>
      <c r="R48" s="26"/>
      <c r="S48" s="26"/>
      <c r="T48" s="26"/>
      <c r="U48" s="26"/>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row>
    <row r="49" spans="1:53" ht="18">
      <c r="A49" s="667"/>
      <c r="B49" s="829"/>
      <c r="C49" s="837" t="s">
        <v>2892</v>
      </c>
      <c r="D49" s="837" t="s">
        <v>2893</v>
      </c>
      <c r="E49" s="841" t="s">
        <v>468</v>
      </c>
      <c r="F49" s="850"/>
      <c r="G49" s="644"/>
      <c r="H49" s="26"/>
      <c r="I49" s="26"/>
      <c r="J49" s="26"/>
      <c r="K49" s="26"/>
      <c r="L49" s="26"/>
      <c r="M49" s="26"/>
      <c r="N49" s="26"/>
      <c r="O49" s="26"/>
      <c r="P49" s="26"/>
      <c r="Q49" s="26"/>
      <c r="R49" s="26"/>
      <c r="S49" s="26"/>
      <c r="T49" s="26"/>
      <c r="U49" s="26"/>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row>
    <row r="50" spans="1:53" ht="20.399999999999999">
      <c r="A50" s="644"/>
      <c r="B50" s="824" t="s">
        <v>2240</v>
      </c>
      <c r="C50" s="842">
        <f>'Form 1 Inputs'!D128</f>
        <v>17322509</v>
      </c>
      <c r="D50" s="842">
        <f>'Form 1 Inputs'!E128</f>
        <v>10786185</v>
      </c>
      <c r="E50" s="849">
        <f>C50+D50</f>
        <v>28108694</v>
      </c>
      <c r="F50" s="668" t="s">
        <v>1241</v>
      </c>
      <c r="G50" s="644"/>
      <c r="H50" s="26"/>
      <c r="I50" s="26"/>
      <c r="J50" s="26"/>
      <c r="K50" s="26"/>
      <c r="L50" s="26"/>
      <c r="M50" s="26"/>
      <c r="N50" s="26"/>
      <c r="O50" s="26"/>
      <c r="P50" s="26"/>
      <c r="Q50" s="26"/>
      <c r="R50" s="26"/>
      <c r="S50" s="26"/>
      <c r="T50" s="26"/>
      <c r="U50" s="26"/>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row>
    <row r="51" spans="1:53" ht="20.399999999999999">
      <c r="A51" s="668"/>
      <c r="B51" s="851" t="s">
        <v>2241</v>
      </c>
      <c r="C51" s="846"/>
      <c r="D51" s="846"/>
      <c r="E51" s="847">
        <f>'Wrksht. M, VOM Revenue Credit'!F50</f>
        <v>1092695.8422608748</v>
      </c>
      <c r="F51" s="851"/>
      <c r="G51" s="644"/>
      <c r="H51" s="26"/>
      <c r="I51" s="26"/>
      <c r="J51" s="26"/>
      <c r="K51" s="26"/>
      <c r="L51" s="26"/>
      <c r="M51" s="26"/>
      <c r="N51" s="26"/>
      <c r="O51" s="26"/>
      <c r="P51" s="26"/>
      <c r="Q51" s="26"/>
      <c r="R51" s="26"/>
      <c r="S51" s="26"/>
      <c r="T51" s="26"/>
      <c r="U51" s="26"/>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row>
    <row r="52" spans="1:53" ht="18">
      <c r="A52" s="667"/>
      <c r="B52" s="667" t="s">
        <v>18</v>
      </c>
      <c r="C52" s="842"/>
      <c r="D52" s="842"/>
      <c r="E52" s="852">
        <f>E50-E51</f>
        <v>27015998.157739125</v>
      </c>
      <c r="F52" s="668" t="s">
        <v>2295</v>
      </c>
      <c r="G52" s="644"/>
      <c r="H52" s="26"/>
      <c r="I52" s="26"/>
      <c r="J52" s="26"/>
      <c r="K52" s="26"/>
      <c r="L52" s="26"/>
      <c r="M52" s="26"/>
      <c r="N52" s="26"/>
      <c r="O52" s="26"/>
      <c r="P52" s="26"/>
      <c r="Q52" s="26"/>
      <c r="R52" s="26"/>
      <c r="S52" s="26"/>
      <c r="T52" s="26"/>
      <c r="U52" s="26"/>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row>
    <row r="53" spans="1:53" ht="40.5" customHeight="1">
      <c r="A53" s="1745" t="str">
        <f>A1</f>
        <v>WORKSHEET D, REVENUE CREDITS, DEMAND CHARGE DIVISOR AND ENERGY</v>
      </c>
      <c r="B53" s="1748"/>
      <c r="C53" s="1748"/>
      <c r="D53" s="1748"/>
      <c r="E53" s="1748"/>
      <c r="F53" s="1748"/>
      <c r="G53" s="1748"/>
      <c r="H53" s="26"/>
      <c r="I53" s="26"/>
      <c r="J53" s="26"/>
      <c r="K53" s="26"/>
      <c r="L53" s="26"/>
      <c r="M53" s="26"/>
      <c r="N53" s="26"/>
      <c r="O53" s="26"/>
      <c r="P53" s="26"/>
      <c r="Q53" s="26"/>
      <c r="R53" s="26"/>
      <c r="S53" s="26"/>
      <c r="T53" s="26"/>
      <c r="U53" s="26"/>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row>
    <row r="54" spans="1:53" ht="15.75" customHeight="1">
      <c r="A54" s="1725" t="str">
        <f>A2</f>
        <v>For Contract Year Beginning June 1, 2024, Based on 2023 Data</v>
      </c>
      <c r="B54" s="1725"/>
      <c r="C54" s="1725"/>
      <c r="D54" s="1725"/>
      <c r="E54" s="1725"/>
      <c r="F54" s="1725"/>
      <c r="G54" s="1725"/>
      <c r="H54" s="26"/>
      <c r="I54" s="26"/>
      <c r="J54" s="26"/>
      <c r="K54" s="26"/>
      <c r="L54" s="26"/>
      <c r="M54" s="26"/>
      <c r="N54" s="26"/>
      <c r="O54" s="26"/>
      <c r="P54" s="26"/>
      <c r="Q54" s="26"/>
      <c r="R54" s="26"/>
      <c r="S54" s="26"/>
      <c r="T54" s="26"/>
      <c r="U54" s="26"/>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row>
    <row r="55" spans="1:53" ht="18">
      <c r="A55" s="667"/>
      <c r="B55" s="829"/>
      <c r="C55" s="842"/>
      <c r="D55" s="842"/>
      <c r="E55" s="849"/>
      <c r="F55" s="850"/>
      <c r="G55" s="644"/>
      <c r="H55" s="26"/>
      <c r="I55" s="26"/>
      <c r="J55" s="26"/>
      <c r="K55" s="26"/>
      <c r="L55" s="26"/>
      <c r="M55" s="26"/>
      <c r="N55" s="26"/>
      <c r="O55" s="26"/>
      <c r="P55" s="26"/>
      <c r="Q55" s="26"/>
      <c r="R55" s="26"/>
      <c r="S55" s="26"/>
      <c r="T55" s="26"/>
      <c r="U55" s="26"/>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row>
    <row r="56" spans="1:53" ht="18">
      <c r="A56" s="853"/>
      <c r="B56" s="854"/>
      <c r="C56" s="855"/>
      <c r="D56" s="856"/>
      <c r="E56" s="857"/>
      <c r="F56" s="857"/>
      <c r="G56" s="818"/>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row>
    <row r="57" spans="1:53" ht="9.75" customHeight="1">
      <c r="A57" s="644"/>
      <c r="B57" s="829"/>
      <c r="C57" s="842"/>
      <c r="D57" s="849"/>
      <c r="E57" s="644"/>
      <c r="F57" s="644"/>
      <c r="G57" s="644"/>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row>
    <row r="58" spans="1:53" ht="20.399999999999999">
      <c r="A58" s="667" t="s">
        <v>2242</v>
      </c>
      <c r="B58" s="644"/>
      <c r="C58" s="644"/>
      <c r="D58" s="644"/>
      <c r="E58" s="644"/>
      <c r="F58" s="644"/>
      <c r="G58" s="644"/>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row>
    <row r="59" spans="1:53" ht="18">
      <c r="A59" s="667" t="s">
        <v>3008</v>
      </c>
      <c r="B59" s="644"/>
      <c r="C59" s="644"/>
      <c r="D59" s="644"/>
      <c r="E59" s="644"/>
      <c r="F59" s="644"/>
      <c r="G59" s="644"/>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row>
    <row r="60" spans="1:53" ht="18">
      <c r="A60" s="667" t="s">
        <v>3009</v>
      </c>
      <c r="B60" s="644"/>
      <c r="C60" s="644"/>
      <c r="D60" s="644"/>
      <c r="E60" s="644"/>
      <c r="F60" s="644"/>
      <c r="G60" s="644"/>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row>
    <row r="61" spans="1:53" ht="18">
      <c r="A61" s="644"/>
      <c r="B61" s="644"/>
      <c r="C61" s="663"/>
      <c r="D61" s="837" t="s">
        <v>1436</v>
      </c>
      <c r="E61" s="837" t="s">
        <v>1437</v>
      </c>
      <c r="F61" s="837" t="s">
        <v>1438</v>
      </c>
      <c r="G61" s="66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row>
    <row r="62" spans="1:53" ht="18">
      <c r="A62" s="667" t="s">
        <v>59</v>
      </c>
      <c r="B62" s="644"/>
      <c r="C62" s="663"/>
      <c r="D62" s="1593">
        <v>53358.74</v>
      </c>
      <c r="E62" s="1593">
        <v>53358.74</v>
      </c>
      <c r="F62" s="1593">
        <v>39134.61</v>
      </c>
      <c r="G62" s="66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row>
    <row r="63" spans="1:53" ht="18">
      <c r="A63" s="667" t="s">
        <v>535</v>
      </c>
      <c r="B63" s="644"/>
      <c r="C63" s="663"/>
      <c r="D63" s="1594">
        <f>0.0135*100</f>
        <v>1.35</v>
      </c>
      <c r="E63" s="1594">
        <f>0.0167*100</f>
        <v>1.67</v>
      </c>
      <c r="F63" s="1594">
        <f>0.0165*100</f>
        <v>1.6500000000000001</v>
      </c>
      <c r="G63" s="829"/>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row>
    <row r="64" spans="1:53" ht="18">
      <c r="A64" s="667" t="s">
        <v>981</v>
      </c>
      <c r="B64" s="644"/>
      <c r="C64" s="663"/>
      <c r="D64" s="858">
        <f>E45</f>
        <v>3452.0094829625</v>
      </c>
      <c r="E64" s="858">
        <f>E45</f>
        <v>3452.0094829625</v>
      </c>
      <c r="F64" s="858">
        <f>E45</f>
        <v>3452.0094829625</v>
      </c>
      <c r="G64" s="805" t="s">
        <v>468</v>
      </c>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row>
    <row r="65" spans="1:53" ht="18">
      <c r="A65" s="667" t="s">
        <v>872</v>
      </c>
      <c r="B65" s="644"/>
      <c r="C65" s="663"/>
      <c r="D65" s="792">
        <f>ROUND(D64*D62*D63/100,0)</f>
        <v>2486631</v>
      </c>
      <c r="E65" s="792">
        <f>ROUND(E64*E62*E63/100,0)</f>
        <v>3076054</v>
      </c>
      <c r="F65" s="792">
        <f>ROUND(F64*F62*F63/100,0)</f>
        <v>2229035</v>
      </c>
      <c r="G65" s="792">
        <f>SUM(D65:F65)</f>
        <v>7791720</v>
      </c>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row>
    <row r="66" spans="1:53" ht="12.75" customHeight="1">
      <c r="A66" s="644"/>
      <c r="B66" s="644"/>
      <c r="C66" s="644"/>
      <c r="D66" s="644"/>
      <c r="E66" s="644"/>
      <c r="F66" s="644"/>
      <c r="G66" s="644"/>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row>
    <row r="67" spans="1:53" s="378" customFormat="1" ht="20.399999999999999">
      <c r="A67" s="831" t="s">
        <v>3010</v>
      </c>
      <c r="B67" s="668"/>
      <c r="C67" s="668"/>
      <c r="D67" s="818"/>
      <c r="E67" s="859"/>
      <c r="F67" s="860"/>
      <c r="G67" s="861"/>
      <c r="H67" s="382"/>
      <c r="I67" s="382"/>
      <c r="J67" s="382"/>
      <c r="K67" s="382"/>
      <c r="L67" s="382"/>
      <c r="M67" s="382"/>
      <c r="N67" s="382"/>
      <c r="O67" s="382"/>
      <c r="P67" s="382"/>
      <c r="Q67" s="382"/>
      <c r="R67" s="382"/>
      <c r="S67" s="382"/>
      <c r="T67" s="382"/>
      <c r="U67" s="382"/>
      <c r="V67" s="382"/>
      <c r="W67" s="382"/>
      <c r="X67" s="382"/>
      <c r="Y67" s="382"/>
      <c r="Z67" s="382"/>
      <c r="AA67" s="382"/>
      <c r="AB67" s="382"/>
      <c r="AC67" s="382"/>
      <c r="AD67" s="382"/>
      <c r="AE67" s="382"/>
      <c r="AF67" s="382"/>
      <c r="AG67" s="382"/>
      <c r="AH67" s="382"/>
      <c r="AI67" s="382"/>
      <c r="AJ67" s="382"/>
      <c r="AK67" s="382"/>
      <c r="AL67" s="382"/>
      <c r="AM67" s="382"/>
      <c r="AN67" s="382"/>
      <c r="AO67" s="382"/>
      <c r="AP67" s="382"/>
      <c r="AQ67" s="382"/>
      <c r="AR67" s="382"/>
      <c r="AS67" s="382"/>
      <c r="AT67" s="382"/>
      <c r="AU67" s="382"/>
      <c r="AV67" s="382"/>
      <c r="AW67" s="382"/>
      <c r="AX67" s="382"/>
      <c r="AY67" s="382"/>
      <c r="AZ67" s="382"/>
      <c r="BA67" s="382"/>
    </row>
    <row r="68" spans="1:53" s="378" customFormat="1" ht="18">
      <c r="A68" s="668" t="s">
        <v>982</v>
      </c>
      <c r="B68" s="668"/>
      <c r="C68" s="668"/>
      <c r="D68" s="818"/>
      <c r="E68" s="859"/>
      <c r="F68" s="860"/>
      <c r="G68" s="861"/>
      <c r="H68" s="382"/>
      <c r="I68" s="382"/>
      <c r="J68" s="382"/>
      <c r="K68" s="382"/>
      <c r="L68" s="382"/>
      <c r="M68" s="382"/>
      <c r="N68" s="382"/>
      <c r="O68" s="382"/>
      <c r="P68" s="382"/>
      <c r="Q68" s="382"/>
      <c r="R68" s="382"/>
      <c r="S68" s="382"/>
      <c r="T68" s="382"/>
      <c r="U68" s="382"/>
      <c r="V68" s="382"/>
      <c r="W68" s="382"/>
      <c r="X68" s="382"/>
      <c r="Y68" s="382"/>
      <c r="Z68" s="382"/>
      <c r="AA68" s="382"/>
      <c r="AB68" s="382"/>
      <c r="AC68" s="382"/>
      <c r="AD68" s="382"/>
      <c r="AE68" s="382"/>
      <c r="AF68" s="382"/>
      <c r="AG68" s="382"/>
      <c r="AH68" s="382"/>
      <c r="AI68" s="382"/>
      <c r="AJ68" s="382"/>
      <c r="AK68" s="382"/>
      <c r="AL68" s="382"/>
      <c r="AM68" s="382"/>
      <c r="AN68" s="382"/>
      <c r="AO68" s="382"/>
      <c r="AP68" s="382"/>
      <c r="AQ68" s="382"/>
      <c r="AR68" s="382"/>
      <c r="AS68" s="382"/>
      <c r="AT68" s="382"/>
      <c r="AU68" s="382"/>
      <c r="AV68" s="382"/>
      <c r="AW68" s="382"/>
      <c r="AX68" s="382"/>
      <c r="AY68" s="382"/>
      <c r="AZ68" s="382"/>
      <c r="BA68" s="382"/>
    </row>
    <row r="69" spans="1:53" s="378" customFormat="1" ht="18">
      <c r="A69" s="668" t="s">
        <v>3011</v>
      </c>
      <c r="B69" s="668"/>
      <c r="C69" s="668"/>
      <c r="D69" s="818"/>
      <c r="E69" s="859"/>
      <c r="F69" s="860"/>
      <c r="G69" s="861"/>
      <c r="H69" s="382"/>
      <c r="I69" s="382"/>
      <c r="J69" s="382"/>
      <c r="K69" s="382"/>
      <c r="L69" s="382"/>
      <c r="M69" s="382"/>
      <c r="N69" s="382"/>
      <c r="O69" s="382"/>
      <c r="P69" s="382"/>
      <c r="Q69" s="382"/>
      <c r="R69" s="382"/>
      <c r="S69" s="382"/>
      <c r="T69" s="382"/>
      <c r="U69" s="382"/>
      <c r="V69" s="382"/>
      <c r="W69" s="382"/>
      <c r="X69" s="382"/>
      <c r="Y69" s="382"/>
      <c r="Z69" s="382"/>
      <c r="AA69" s="382"/>
      <c r="AB69" s="382"/>
      <c r="AC69" s="382"/>
      <c r="AD69" s="382"/>
      <c r="AE69" s="382"/>
      <c r="AF69" s="382"/>
      <c r="AG69" s="382"/>
      <c r="AH69" s="382"/>
      <c r="AI69" s="382"/>
      <c r="AJ69" s="382"/>
      <c r="AK69" s="382"/>
      <c r="AL69" s="382"/>
      <c r="AM69" s="382"/>
      <c r="AN69" s="382"/>
      <c r="AO69" s="382"/>
      <c r="AP69" s="382"/>
      <c r="AQ69" s="382"/>
      <c r="AR69" s="382"/>
      <c r="AS69" s="382"/>
      <c r="AT69" s="382"/>
      <c r="AU69" s="382"/>
      <c r="AV69" s="382"/>
      <c r="AW69" s="382"/>
      <c r="AX69" s="382"/>
      <c r="AY69" s="382"/>
      <c r="AZ69" s="382"/>
      <c r="BA69" s="382"/>
    </row>
    <row r="70" spans="1:53" s="378" customFormat="1" ht="18">
      <c r="A70" s="668" t="s">
        <v>511</v>
      </c>
      <c r="B70" s="668"/>
      <c r="C70" s="668"/>
      <c r="D70" s="818"/>
      <c r="E70" s="859"/>
      <c r="F70" s="860"/>
      <c r="G70" s="861"/>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c r="AJ70" s="382"/>
      <c r="AK70" s="382"/>
      <c r="AL70" s="382"/>
      <c r="AM70" s="382"/>
      <c r="AN70" s="382"/>
      <c r="AO70" s="382"/>
      <c r="AP70" s="382"/>
      <c r="AQ70" s="382"/>
      <c r="AR70" s="382"/>
      <c r="AS70" s="382"/>
      <c r="AT70" s="382"/>
      <c r="AU70" s="382"/>
      <c r="AV70" s="382"/>
      <c r="AW70" s="382"/>
      <c r="AX70" s="382"/>
      <c r="AY70" s="382"/>
      <c r="AZ70" s="382"/>
      <c r="BA70" s="382"/>
    </row>
    <row r="71" spans="1:53" s="378" customFormat="1" ht="18">
      <c r="A71" s="668" t="s">
        <v>983</v>
      </c>
      <c r="B71" s="668"/>
      <c r="C71" s="668"/>
      <c r="D71" s="818"/>
      <c r="E71" s="859"/>
      <c r="F71" s="860"/>
      <c r="G71" s="861"/>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c r="AL71" s="382"/>
      <c r="AM71" s="382"/>
      <c r="AN71" s="382"/>
      <c r="AO71" s="382"/>
      <c r="AP71" s="382"/>
      <c r="AQ71" s="382"/>
      <c r="AR71" s="382"/>
      <c r="AS71" s="382"/>
      <c r="AT71" s="382"/>
      <c r="AU71" s="382"/>
      <c r="AV71" s="382"/>
      <c r="AW71" s="382"/>
      <c r="AX71" s="382"/>
      <c r="AY71" s="382"/>
      <c r="AZ71" s="382"/>
      <c r="BA71" s="382"/>
    </row>
    <row r="72" spans="1:53" ht="12.75" customHeight="1">
      <c r="A72" s="667"/>
      <c r="B72" s="667"/>
      <c r="C72" s="667"/>
      <c r="D72" s="644"/>
      <c r="E72" s="797"/>
      <c r="F72" s="793"/>
      <c r="G72" s="641"/>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row>
    <row r="73" spans="1:53" ht="20.399999999999999">
      <c r="A73" s="831" t="s">
        <v>2243</v>
      </c>
      <c r="B73" s="668"/>
      <c r="C73" s="668"/>
      <c r="D73" s="818"/>
      <c r="E73" s="859"/>
      <c r="F73" s="860"/>
      <c r="G73" s="861"/>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row>
    <row r="74" spans="1:53" ht="12.75" customHeight="1">
      <c r="A74" s="821"/>
      <c r="B74" s="663"/>
      <c r="C74" s="663"/>
      <c r="D74" s="663"/>
      <c r="E74" s="663"/>
      <c r="F74" s="663"/>
      <c r="G74" s="663"/>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row>
    <row r="75" spans="1:53" ht="20.399999999999999">
      <c r="A75" s="821" t="s">
        <v>3012</v>
      </c>
      <c r="B75" s="663"/>
      <c r="C75" s="663"/>
      <c r="D75" s="663"/>
      <c r="E75" s="663"/>
      <c r="F75" s="663"/>
      <c r="G75" s="663"/>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row>
    <row r="76" spans="1:53" ht="18">
      <c r="A76" s="667" t="s">
        <v>3083</v>
      </c>
      <c r="B76" s="663"/>
      <c r="C76" s="663"/>
      <c r="D76" s="663"/>
      <c r="E76" s="663"/>
      <c r="F76" s="663"/>
      <c r="G76" s="663"/>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row>
    <row r="77" spans="1:53" s="55" customFormat="1" ht="18">
      <c r="A77" s="667" t="s">
        <v>3013</v>
      </c>
      <c r="B77" s="862"/>
      <c r="C77" s="862"/>
      <c r="D77" s="862"/>
      <c r="E77" s="862"/>
      <c r="F77" s="862"/>
      <c r="G77" s="862"/>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row>
    <row r="78" spans="1:53" ht="18">
      <c r="A78" s="153"/>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row>
    <row r="79" spans="1:53">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row>
    <row r="80" spans="1:53">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row>
    <row r="81" spans="3:53" ht="15.6">
      <c r="C81" s="240"/>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row>
    <row r="82" spans="3:53">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row>
    <row r="83" spans="3:53">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row>
    <row r="84" spans="3:53">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row>
    <row r="85" spans="3:53">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row>
    <row r="86" spans="3:53">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row>
    <row r="87" spans="3:53">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row>
    <row r="88" spans="3:53">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row>
    <row r="89" spans="3:53">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row>
    <row r="90" spans="3:53">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row>
    <row r="91" spans="3:53">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row>
    <row r="92" spans="3:53">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row>
    <row r="93" spans="3:53">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row>
    <row r="94" spans="3:53">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row>
    <row r="95" spans="3:53">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row>
    <row r="96" spans="3:53">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row>
    <row r="97" spans="8:53">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row>
    <row r="98" spans="8:53">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row>
    <row r="99" spans="8:53">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row>
    <row r="100" spans="8:53">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row>
    <row r="101" spans="8:53">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row>
    <row r="102" spans="8:53">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row>
    <row r="103" spans="8:53">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row>
    <row r="104" spans="8:53">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row>
    <row r="105" spans="8:53">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row>
    <row r="106" spans="8:53">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row>
    <row r="107" spans="8:53">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row>
    <row r="108" spans="8:53">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row>
    <row r="109" spans="8:53">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row>
    <row r="110" spans="8:53">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row>
    <row r="111" spans="8:53">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row>
    <row r="112" spans="8:53">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row>
    <row r="113" spans="8:53">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row>
    <row r="114" spans="8:53">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row>
    <row r="115" spans="8:53">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row>
    <row r="116" spans="8:53">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row>
    <row r="117" spans="8:53">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row>
    <row r="118" spans="8:53">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row>
    <row r="119" spans="8:53">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row>
    <row r="120" spans="8:53">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row>
    <row r="121" spans="8:53">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row>
    <row r="122" spans="8:53">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row>
    <row r="123" spans="8:53">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row>
    <row r="124" spans="8:53">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row>
    <row r="125" spans="8:53">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row>
    <row r="126" spans="8:53">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row>
    <row r="127" spans="8:53">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row>
    <row r="128" spans="8:53">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row>
    <row r="129" spans="8:53">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row>
    <row r="130" spans="8:53">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row>
    <row r="131" spans="8:53">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row>
    <row r="132" spans="8:53">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row>
    <row r="133" spans="8:53">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row>
    <row r="134" spans="8:53">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row>
    <row r="135" spans="8:53">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row>
    <row r="136" spans="8:53">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row>
    <row r="137" spans="8:53">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row>
    <row r="138" spans="8:53">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row>
    <row r="139" spans="8:53">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row>
    <row r="140" spans="8:53">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row>
    <row r="141" spans="8:53">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row>
    <row r="142" spans="8:53">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row>
    <row r="143" spans="8:53">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row>
    <row r="144" spans="8:53">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row>
    <row r="145" spans="8:53">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row>
    <row r="146" spans="8:53">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row>
    <row r="147" spans="8:53">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row>
    <row r="148" spans="8:53">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row>
    <row r="149" spans="8:53">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row>
    <row r="150" spans="8:53">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row>
    <row r="151" spans="8:53">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row>
    <row r="152" spans="8:53">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row>
    <row r="153" spans="8:53">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row>
    <row r="154" spans="8:53">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row>
    <row r="155" spans="8:53">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row>
    <row r="156" spans="8:53">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row>
    <row r="157" spans="8:53">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row>
    <row r="158" spans="8:53">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row>
    <row r="159" spans="8:53">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row>
    <row r="160" spans="8:53">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row>
    <row r="161" spans="8:53">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row>
    <row r="162" spans="8:53">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row>
    <row r="163" spans="8:53">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row>
    <row r="164" spans="8:53">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row>
    <row r="165" spans="8:53">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row>
    <row r="166" spans="8:53">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row>
    <row r="167" spans="8:53">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row>
    <row r="168" spans="8:53">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row>
    <row r="169" spans="8:53">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row>
    <row r="170" spans="8:53">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row>
    <row r="171" spans="8:53">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row>
    <row r="172" spans="8:53">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row>
    <row r="173" spans="8:53">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row>
    <row r="174" spans="8:53">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row>
    <row r="175" spans="8:53">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row>
    <row r="176" spans="8:53">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row>
    <row r="177" spans="8:53">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row>
    <row r="178" spans="8:53">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row>
    <row r="179" spans="8:53">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row>
    <row r="180" spans="8:53">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row>
    <row r="181" spans="8:53">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row>
    <row r="182" spans="8:53">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row>
    <row r="183" spans="8:53">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row>
    <row r="184" spans="8:53">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row>
    <row r="185" spans="8:53">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row>
    <row r="186" spans="8:53">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row>
    <row r="187" spans="8:53">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row>
    <row r="188" spans="8:53">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row>
    <row r="189" spans="8:53">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row>
    <row r="190" spans="8:53">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row>
    <row r="191" spans="8:53">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row>
    <row r="192" spans="8:53">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row>
    <row r="193" spans="8:53">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row>
    <row r="194" spans="8:53">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row>
    <row r="195" spans="8:53">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row>
    <row r="196" spans="8:53">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row>
    <row r="197" spans="8:53">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row>
    <row r="198" spans="8:53">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row>
    <row r="199" spans="8:53">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row>
    <row r="200" spans="8:53">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row>
    <row r="201" spans="8:53">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row>
    <row r="202" spans="8:53">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row>
    <row r="203" spans="8:53">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row>
    <row r="204" spans="8:53">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row>
    <row r="205" spans="8:53">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row>
    <row r="206" spans="8:53">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row>
    <row r="207" spans="8:53">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row>
    <row r="208" spans="8:53">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row>
    <row r="209" spans="8:53">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row>
    <row r="210" spans="8:53">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row>
    <row r="211" spans="8:53">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row>
    <row r="212" spans="8:53">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row>
    <row r="213" spans="8:53">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row>
    <row r="214" spans="8:53">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row>
    <row r="215" spans="8:53">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row>
    <row r="216" spans="8:53">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row>
    <row r="217" spans="8:53">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row>
    <row r="218" spans="8:53">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row>
    <row r="219" spans="8:53">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row>
    <row r="220" spans="8:53">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row>
    <row r="221" spans="8:53">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row>
    <row r="222" spans="8:53">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row>
    <row r="223" spans="8:53">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row>
    <row r="224" spans="8:53">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row>
    <row r="225" spans="8:53">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row>
    <row r="226" spans="8:53">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row>
    <row r="227" spans="8:53">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row>
    <row r="228" spans="8:53">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row>
    <row r="229" spans="8:53">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row>
    <row r="230" spans="8:53">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row>
    <row r="231" spans="8:53">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row>
    <row r="232" spans="8:53">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row>
    <row r="233" spans="8:53">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row>
    <row r="234" spans="8:53">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row>
    <row r="235" spans="8:53">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row>
    <row r="236" spans="8:53">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row>
    <row r="237" spans="8:53">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row>
    <row r="238" spans="8:53">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row>
    <row r="239" spans="8:53">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row>
    <row r="240" spans="8:53">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row>
    <row r="241" spans="8:53">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row>
    <row r="242" spans="8:53">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row>
    <row r="243" spans="8:53">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row>
    <row r="244" spans="8:53">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row>
    <row r="245" spans="8:53">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row>
    <row r="246" spans="8:53">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row>
    <row r="247" spans="8:53">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row>
    <row r="248" spans="8:53">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row>
    <row r="249" spans="8:53">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row>
    <row r="250" spans="8:53">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row>
    <row r="251" spans="8:53">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row>
    <row r="252" spans="8:53">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row>
    <row r="253" spans="8:53">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row>
    <row r="254" spans="8:53">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row>
    <row r="255" spans="8:53">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row>
    <row r="256" spans="8:53">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row>
    <row r="257" spans="8:53">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row>
    <row r="258" spans="8:53">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row>
    <row r="259" spans="8:53">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row>
    <row r="260" spans="8:53">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row>
    <row r="261" spans="8:53">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row>
    <row r="262" spans="8:53">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row>
    <row r="263" spans="8:53">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row>
    <row r="264" spans="8:53">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row>
    <row r="265" spans="8:53">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row>
    <row r="266" spans="8:53">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row>
    <row r="267" spans="8:53">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row>
    <row r="268" spans="8:53">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row>
    <row r="269" spans="8:53">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row>
    <row r="270" spans="8:53">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row>
    <row r="271" spans="8:53">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row>
    <row r="272" spans="8:53">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row>
    <row r="273" spans="8:53">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row>
    <row r="274" spans="8:53">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row>
    <row r="275" spans="8:53">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row>
    <row r="276" spans="8:53">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row>
    <row r="277" spans="8:53">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row>
    <row r="278" spans="8:53">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row>
    <row r="279" spans="8:53">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row>
    <row r="280" spans="8:53">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row>
    <row r="281" spans="8:53">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row>
    <row r="282" spans="8:53">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row>
    <row r="283" spans="8:53">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row>
    <row r="284" spans="8:53">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row>
    <row r="285" spans="8:53">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row>
    <row r="286" spans="8:53">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row>
    <row r="287" spans="8:53">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row>
    <row r="288" spans="8:53">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row>
    <row r="289" spans="8:53">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row>
    <row r="290" spans="8:53">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row>
    <row r="291" spans="8:53">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row>
    <row r="292" spans="8:53">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row>
    <row r="293" spans="8:53">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row>
    <row r="294" spans="8:53">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row>
    <row r="295" spans="8:53">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row>
    <row r="296" spans="8:53">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row>
    <row r="297" spans="8:53">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row>
    <row r="298" spans="8:53">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row>
    <row r="299" spans="8:53">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row>
    <row r="300" spans="8:53">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row>
    <row r="301" spans="8:53">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row>
    <row r="302" spans="8:53">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row>
    <row r="303" spans="8:53">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row>
    <row r="304" spans="8:53">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row>
    <row r="305" spans="8:53">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row>
    <row r="306" spans="8:53">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row>
    <row r="307" spans="8:53">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row>
    <row r="308" spans="8:53">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row>
    <row r="309" spans="8:53">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row>
    <row r="310" spans="8:53">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row>
    <row r="311" spans="8:53">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row>
    <row r="312" spans="8:53">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row>
    <row r="313" spans="8:53">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row>
    <row r="314" spans="8:53">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row>
    <row r="315" spans="8:53">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row>
    <row r="316" spans="8:53">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row>
  </sheetData>
  <sheetProtection sheet="1" objects="1" scenarios="1"/>
  <mergeCells count="7">
    <mergeCell ref="A1:G1"/>
    <mergeCell ref="A4:G4"/>
    <mergeCell ref="A25:G25"/>
    <mergeCell ref="H45:U45"/>
    <mergeCell ref="A54:G54"/>
    <mergeCell ref="A53:G53"/>
    <mergeCell ref="A2:G2"/>
  </mergeCells>
  <phoneticPr fontId="0" type="noConversion"/>
  <printOptions horizontalCentered="1"/>
  <pageMargins left="0.75" right="0.5" top="1.39" bottom="0.5" header="1" footer="0.27"/>
  <pageSetup scale="69" fitToHeight="0" orientation="portrait" r:id="rId1"/>
  <headerFooter alignWithMargins="0">
    <oddHeader>&amp;C&amp;"Times New Roman,Bold"&amp;16ATTACHMENT D, Page &amp;P of &amp;N
EVERGY</oddHeader>
    <oddFooter>&amp;R&amp;1#&amp;"Calibri"&amp;10&amp;KA80000Internal Use Only</oddFooter>
  </headerFooter>
  <rowBreaks count="1" manualBreakCount="1">
    <brk id="52" max="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AC42"/>
  <sheetViews>
    <sheetView tabSelected="1" view="pageBreakPreview" zoomScale="90" zoomScaleNormal="100" zoomScaleSheetLayoutView="90" workbookViewId="0">
      <selection sqref="A1:N1"/>
    </sheetView>
  </sheetViews>
  <sheetFormatPr defaultColWidth="9.109375" defaultRowHeight="13.2"/>
  <cols>
    <col min="1" max="1" width="7.6640625" style="19" customWidth="1"/>
    <col min="2" max="2" width="16.44140625" style="19" customWidth="1"/>
    <col min="3" max="6" width="14.6640625" style="19" customWidth="1"/>
    <col min="7" max="7" width="14.88671875" style="19" customWidth="1"/>
    <col min="8" max="8" width="16.88671875" style="19" customWidth="1"/>
    <col min="9" max="10" width="14.6640625" style="19" customWidth="1"/>
    <col min="11" max="12" width="18.6640625" style="19" customWidth="1"/>
    <col min="13" max="13" width="9.5546875" style="19" customWidth="1"/>
    <col min="14" max="14" width="10.6640625" style="19" customWidth="1"/>
    <col min="15" max="15" width="9.109375" style="19" customWidth="1"/>
    <col min="16" max="16" width="8.33203125" style="19" customWidth="1"/>
    <col min="17" max="18" width="8.88671875" style="19" customWidth="1"/>
    <col min="19" max="19" width="8.6640625" style="19" customWidth="1"/>
    <col min="20" max="21" width="8.109375" style="19" customWidth="1"/>
    <col min="22" max="22" width="8" style="19" customWidth="1"/>
    <col min="23" max="23" width="8.33203125" style="19" customWidth="1"/>
    <col min="24" max="24" width="8.5546875" style="19" customWidth="1"/>
    <col min="25" max="25" width="9.109375" style="19" customWidth="1"/>
    <col min="26" max="26" width="7.5546875" style="19" customWidth="1"/>
    <col min="27" max="27" width="7.109375" style="19" bestFit="1" customWidth="1"/>
    <col min="28" max="29" width="8.109375" style="19" bestFit="1" customWidth="1"/>
    <col min="30" max="30" width="9" style="19" bestFit="1" customWidth="1"/>
    <col min="31" max="31" width="10.33203125" style="19" customWidth="1"/>
    <col min="32" max="32" width="7.109375" style="19" customWidth="1"/>
    <col min="33" max="33" width="9.109375" style="19" customWidth="1"/>
    <col min="34" max="34" width="7.5546875" style="19" bestFit="1" customWidth="1"/>
    <col min="35" max="35" width="7.88671875" style="19" customWidth="1"/>
    <col min="36" max="36" width="8.33203125" style="19" bestFit="1" customWidth="1"/>
    <col min="37" max="37" width="10.44140625" style="19" bestFit="1" customWidth="1"/>
    <col min="38" max="16384" width="9.109375" style="19"/>
  </cols>
  <sheetData>
    <row r="1" spans="1:29" ht="20.399999999999999">
      <c r="A1" s="1713" t="s">
        <v>1451</v>
      </c>
      <c r="B1" s="1714"/>
      <c r="C1" s="1714"/>
      <c r="D1" s="1714"/>
      <c r="E1" s="1714"/>
      <c r="F1" s="1714"/>
      <c r="G1" s="1714"/>
      <c r="H1" s="1714"/>
      <c r="I1" s="1714"/>
      <c r="J1" s="1714"/>
      <c r="K1" s="1714"/>
      <c r="L1" s="1714"/>
      <c r="M1" s="1714"/>
      <c r="N1" s="1714"/>
      <c r="P1" s="126"/>
      <c r="Q1" s="134"/>
      <c r="R1" s="135"/>
      <c r="S1" s="136"/>
      <c r="T1" s="136"/>
      <c r="U1" s="136"/>
      <c r="V1" s="137"/>
      <c r="W1" s="124"/>
    </row>
    <row r="2" spans="1:29" ht="19.2">
      <c r="A2" s="1725" t="str">
        <f>' Net Monthly Bill'!A2:B2</f>
        <v>For Contract Year Beginning June 1, 2024, Based on 2023 Data</v>
      </c>
      <c r="B2" s="1750"/>
      <c r="C2" s="1750"/>
      <c r="D2" s="1750"/>
      <c r="E2" s="1750"/>
      <c r="F2" s="1750"/>
      <c r="G2" s="1750"/>
      <c r="H2" s="1750"/>
      <c r="I2" s="1750"/>
      <c r="J2" s="1750"/>
      <c r="K2" s="1750"/>
      <c r="L2" s="1750"/>
      <c r="M2" s="1750"/>
      <c r="N2" s="1750"/>
      <c r="P2" s="126"/>
      <c r="Q2" s="134"/>
      <c r="R2" s="135"/>
      <c r="S2" s="136"/>
      <c r="T2" s="136"/>
      <c r="U2" s="136"/>
      <c r="V2" s="137"/>
      <c r="W2" s="124"/>
    </row>
    <row r="3" spans="1:29" ht="15.6">
      <c r="A3" s="863"/>
      <c r="B3" s="863"/>
      <c r="C3" s="863"/>
      <c r="D3" s="863"/>
      <c r="E3" s="863"/>
      <c r="F3" s="863"/>
      <c r="G3" s="863"/>
      <c r="H3" s="863"/>
      <c r="I3" s="863"/>
      <c r="J3" s="863"/>
      <c r="K3" s="863"/>
      <c r="L3" s="863"/>
      <c r="M3" s="663"/>
      <c r="N3" s="663"/>
      <c r="P3" s="126"/>
      <c r="Q3" s="134"/>
      <c r="R3" s="135"/>
      <c r="S3" s="136"/>
      <c r="T3" s="136"/>
      <c r="U3" s="136"/>
      <c r="V3" s="137"/>
      <c r="W3" s="124"/>
    </row>
    <row r="4" spans="1:29" ht="6.15" customHeight="1">
      <c r="A4" s="863"/>
      <c r="B4" s="863"/>
      <c r="C4" s="863"/>
      <c r="D4" s="863"/>
      <c r="E4" s="863"/>
      <c r="F4" s="863"/>
      <c r="G4" s="863"/>
      <c r="H4" s="863"/>
      <c r="I4" s="863"/>
      <c r="J4" s="863"/>
      <c r="K4" s="863"/>
      <c r="L4" s="863"/>
      <c r="M4" s="663"/>
      <c r="N4" s="663"/>
      <c r="P4" s="126"/>
      <c r="Q4" s="134"/>
      <c r="R4" s="135"/>
      <c r="S4" s="136"/>
      <c r="T4" s="136"/>
      <c r="U4" s="136"/>
      <c r="V4" s="137"/>
      <c r="W4" s="124"/>
    </row>
    <row r="5" spans="1:29">
      <c r="A5" s="864" t="s">
        <v>561</v>
      </c>
      <c r="B5" s="864" t="s">
        <v>562</v>
      </c>
      <c r="C5" s="864" t="s">
        <v>563</v>
      </c>
      <c r="D5" s="864" t="s">
        <v>564</v>
      </c>
      <c r="E5" s="864" t="s">
        <v>565</v>
      </c>
      <c r="F5" s="864" t="s">
        <v>566</v>
      </c>
      <c r="G5" s="864" t="s">
        <v>567</v>
      </c>
      <c r="H5" s="864" t="s">
        <v>568</v>
      </c>
      <c r="I5" s="864" t="s">
        <v>569</v>
      </c>
      <c r="J5" s="864" t="s">
        <v>570</v>
      </c>
      <c r="K5" s="864" t="s">
        <v>571</v>
      </c>
      <c r="L5" s="864" t="s">
        <v>572</v>
      </c>
      <c r="M5" s="864" t="s">
        <v>488</v>
      </c>
      <c r="N5" s="864" t="s">
        <v>489</v>
      </c>
      <c r="P5" s="126"/>
      <c r="Q5" s="134"/>
      <c r="R5" s="135"/>
      <c r="S5" s="136"/>
      <c r="T5" s="136"/>
      <c r="U5" s="136"/>
      <c r="V5" s="137"/>
      <c r="W5" s="124"/>
    </row>
    <row r="6" spans="1:29" s="125" customFormat="1" ht="6.15" customHeight="1">
      <c r="A6" s="864"/>
      <c r="B6" s="864"/>
      <c r="C6" s="864"/>
      <c r="D6" s="864"/>
      <c r="E6" s="864"/>
      <c r="F6" s="864"/>
      <c r="G6" s="864"/>
      <c r="H6" s="864"/>
      <c r="I6" s="864"/>
      <c r="J6" s="864"/>
      <c r="K6" s="864"/>
      <c r="L6" s="864"/>
      <c r="M6" s="865"/>
      <c r="N6" s="866"/>
      <c r="P6" s="138"/>
      <c r="Q6" s="139"/>
      <c r="R6" s="140"/>
      <c r="S6" s="141"/>
      <c r="T6" s="141"/>
      <c r="U6" s="141"/>
      <c r="V6" s="142"/>
      <c r="W6" s="143"/>
    </row>
    <row r="7" spans="1:29" s="125" customFormat="1" ht="12" customHeight="1">
      <c r="A7" s="864"/>
      <c r="B7" s="866"/>
      <c r="C7" s="864"/>
      <c r="D7" s="867" t="s">
        <v>573</v>
      </c>
      <c r="E7" s="864"/>
      <c r="F7" s="867" t="s">
        <v>574</v>
      </c>
      <c r="G7" s="867" t="s">
        <v>795</v>
      </c>
      <c r="H7" s="864"/>
      <c r="I7" s="864"/>
      <c r="J7" s="864"/>
      <c r="K7" s="864"/>
      <c r="L7" s="867" t="s">
        <v>560</v>
      </c>
      <c r="M7" s="865"/>
      <c r="N7" s="866"/>
      <c r="P7" s="138"/>
      <c r="Q7" s="139"/>
      <c r="R7" s="140"/>
      <c r="S7" s="141"/>
      <c r="T7" s="141"/>
      <c r="U7" s="141"/>
      <c r="V7" s="142"/>
      <c r="W7" s="143"/>
    </row>
    <row r="8" spans="1:29" s="125" customFormat="1" ht="12" customHeight="1">
      <c r="A8" s="867" t="s">
        <v>314</v>
      </c>
      <c r="B8" s="867" t="s">
        <v>1419</v>
      </c>
      <c r="C8" s="867"/>
      <c r="D8" s="867" t="s">
        <v>793</v>
      </c>
      <c r="E8" s="867" t="s">
        <v>315</v>
      </c>
      <c r="F8" s="867" t="s">
        <v>1569</v>
      </c>
      <c r="G8" s="867" t="s">
        <v>574</v>
      </c>
      <c r="H8" s="867" t="s">
        <v>574</v>
      </c>
      <c r="I8" s="867"/>
      <c r="J8" s="867"/>
      <c r="K8" s="867" t="s">
        <v>303</v>
      </c>
      <c r="L8" s="867" t="s">
        <v>303</v>
      </c>
      <c r="M8" s="868"/>
      <c r="N8" s="867" t="s">
        <v>491</v>
      </c>
      <c r="O8" s="103"/>
      <c r="P8" s="104"/>
      <c r="Q8" s="105"/>
      <c r="R8" s="106"/>
      <c r="S8" s="107"/>
      <c r="T8" s="107"/>
      <c r="U8" s="107"/>
      <c r="V8" s="108"/>
      <c r="W8" s="109"/>
      <c r="X8" s="103"/>
      <c r="Y8" s="103"/>
      <c r="Z8" s="103"/>
      <c r="AA8" s="103"/>
      <c r="AB8" s="103"/>
      <c r="AC8" s="103"/>
    </row>
    <row r="9" spans="1:29" s="125" customFormat="1">
      <c r="A9" s="867" t="s">
        <v>304</v>
      </c>
      <c r="B9" s="867" t="s">
        <v>573</v>
      </c>
      <c r="C9" s="867" t="s">
        <v>573</v>
      </c>
      <c r="D9" s="867" t="s">
        <v>305</v>
      </c>
      <c r="E9" s="867" t="s">
        <v>794</v>
      </c>
      <c r="F9" s="867" t="s">
        <v>306</v>
      </c>
      <c r="G9" s="867" t="s">
        <v>1569</v>
      </c>
      <c r="H9" s="867" t="s">
        <v>557</v>
      </c>
      <c r="I9" s="867" t="s">
        <v>1429</v>
      </c>
      <c r="J9" s="867" t="s">
        <v>1569</v>
      </c>
      <c r="K9" s="867" t="s">
        <v>557</v>
      </c>
      <c r="L9" s="867" t="s">
        <v>557</v>
      </c>
      <c r="M9" s="867" t="s">
        <v>491</v>
      </c>
      <c r="N9" s="867" t="s">
        <v>490</v>
      </c>
      <c r="O9" s="103"/>
      <c r="P9" s="104"/>
      <c r="Q9" s="105"/>
      <c r="R9" s="106"/>
      <c r="S9" s="107"/>
      <c r="T9" s="107"/>
      <c r="U9" s="107"/>
      <c r="V9" s="108"/>
      <c r="W9" s="109"/>
      <c r="X9" s="103"/>
      <c r="Y9" s="103"/>
      <c r="Z9" s="103"/>
      <c r="AA9" s="103"/>
      <c r="AB9" s="103"/>
      <c r="AC9" s="103"/>
    </row>
    <row r="10" spans="1:29" s="125" customFormat="1" ht="15.6">
      <c r="A10" s="867" t="s">
        <v>307</v>
      </c>
      <c r="B10" s="867" t="s">
        <v>793</v>
      </c>
      <c r="C10" s="867" t="s">
        <v>320</v>
      </c>
      <c r="D10" s="867" t="s">
        <v>308</v>
      </c>
      <c r="E10" s="867" t="s">
        <v>1569</v>
      </c>
      <c r="F10" s="867" t="s">
        <v>309</v>
      </c>
      <c r="G10" s="867" t="s">
        <v>317</v>
      </c>
      <c r="H10" s="867" t="s">
        <v>558</v>
      </c>
      <c r="I10" s="867" t="s">
        <v>321</v>
      </c>
      <c r="J10" s="867" t="s">
        <v>318</v>
      </c>
      <c r="K10" s="867" t="s">
        <v>558</v>
      </c>
      <c r="L10" s="867" t="s">
        <v>558</v>
      </c>
      <c r="M10" s="867" t="s">
        <v>490</v>
      </c>
      <c r="N10" s="867" t="s">
        <v>492</v>
      </c>
      <c r="O10" s="103"/>
      <c r="P10" s="104"/>
      <c r="Q10" s="105"/>
      <c r="R10" s="106"/>
      <c r="S10" s="107"/>
      <c r="T10" s="107"/>
      <c r="U10" s="107"/>
      <c r="V10" s="108"/>
      <c r="W10" s="109"/>
      <c r="X10" s="103"/>
      <c r="Y10" s="103"/>
      <c r="Z10" s="103"/>
      <c r="AA10" s="103"/>
      <c r="AB10" s="103"/>
      <c r="AC10" s="103"/>
    </row>
    <row r="11" spans="1:29" s="125" customFormat="1" ht="26.4">
      <c r="A11" s="869" t="s">
        <v>559</v>
      </c>
      <c r="B11" s="869" t="s">
        <v>2246</v>
      </c>
      <c r="C11" s="869" t="s">
        <v>997</v>
      </c>
      <c r="D11" s="869" t="s">
        <v>311</v>
      </c>
      <c r="E11" s="869" t="s">
        <v>316</v>
      </c>
      <c r="F11" s="869" t="s">
        <v>312</v>
      </c>
      <c r="G11" s="870" t="s">
        <v>310</v>
      </c>
      <c r="H11" s="869" t="s">
        <v>313</v>
      </c>
      <c r="I11" s="869" t="s">
        <v>311</v>
      </c>
      <c r="J11" s="869" t="s">
        <v>311</v>
      </c>
      <c r="K11" s="869" t="s">
        <v>319</v>
      </c>
      <c r="L11" s="871" t="s">
        <v>2247</v>
      </c>
      <c r="M11" s="869" t="s">
        <v>2248</v>
      </c>
      <c r="N11" s="869" t="s">
        <v>399</v>
      </c>
      <c r="O11" s="103"/>
      <c r="P11" s="104"/>
      <c r="Q11" s="105"/>
      <c r="R11" s="106"/>
      <c r="S11" s="107"/>
      <c r="T11" s="107"/>
      <c r="U11" s="107"/>
      <c r="V11" s="108"/>
      <c r="W11" s="109"/>
      <c r="X11" s="103"/>
      <c r="Y11" s="103"/>
      <c r="Z11" s="103"/>
      <c r="AA11" s="103"/>
      <c r="AB11" s="103"/>
      <c r="AC11" s="103"/>
    </row>
    <row r="12" spans="1:29">
      <c r="A12" s="563">
        <v>2008</v>
      </c>
      <c r="B12" s="564">
        <v>638675852.7348721</v>
      </c>
      <c r="C12" s="564">
        <f>3312.25*1000</f>
        <v>3312250</v>
      </c>
      <c r="D12" s="872">
        <f>B12/C12/12</f>
        <v>16.068529769161753</v>
      </c>
      <c r="E12" s="873" t="s">
        <v>875</v>
      </c>
      <c r="F12" s="872">
        <f>D12</f>
        <v>16.068529769161753</v>
      </c>
      <c r="G12" s="874">
        <f t="shared" ref="G12:G18" si="0">F12*C12*12</f>
        <v>638675852.73487222</v>
      </c>
      <c r="H12" s="872">
        <f t="shared" ref="H12:H18" si="1">G12-B12</f>
        <v>0</v>
      </c>
      <c r="I12" s="872">
        <v>0</v>
      </c>
      <c r="J12" s="872">
        <f t="shared" ref="J12:J18" si="2">F12+I12</f>
        <v>16.068529769161753</v>
      </c>
      <c r="K12" s="872">
        <f t="shared" ref="K12:K18" si="3">(J12*C12*12)-B12</f>
        <v>0</v>
      </c>
      <c r="L12" s="872">
        <f>K12</f>
        <v>0</v>
      </c>
      <c r="M12" s="566">
        <v>6.2074999999999998E-2</v>
      </c>
      <c r="N12" s="875">
        <f t="shared" ref="N12:N18" si="4">L12*M12</f>
        <v>0</v>
      </c>
      <c r="O12" s="137"/>
      <c r="P12" s="137"/>
      <c r="Q12" s="144"/>
      <c r="R12" s="135"/>
      <c r="S12" s="136"/>
      <c r="T12" s="136"/>
      <c r="U12" s="136"/>
      <c r="V12" s="137"/>
      <c r="W12" s="124"/>
    </row>
    <row r="13" spans="1:29">
      <c r="A13" s="563">
        <f t="shared" ref="A13:A22" si="5">A12+1</f>
        <v>2009</v>
      </c>
      <c r="B13" s="565">
        <v>721493068.08941889</v>
      </c>
      <c r="C13" s="564">
        <v>3303250</v>
      </c>
      <c r="D13" s="872">
        <f>B13/C13/12</f>
        <v>18.201596107102066</v>
      </c>
      <c r="E13" s="873">
        <f t="shared" ref="E13:E18" si="6">J12*1.1</f>
        <v>17.675382746077929</v>
      </c>
      <c r="F13" s="872">
        <f t="shared" ref="F13:F18" si="7">IF(E13&lt;=D13,E13,D13)</f>
        <v>17.675382746077929</v>
      </c>
      <c r="G13" s="875">
        <f t="shared" si="0"/>
        <v>700634496.67178297</v>
      </c>
      <c r="H13" s="872">
        <f t="shared" si="1"/>
        <v>-20858571.417635918</v>
      </c>
      <c r="I13" s="872">
        <f t="shared" ref="I13:I18" si="8">IF(B13=0,0,ROUND(IF(H13=0,IF(((E13-F13)*C13*12)&lt;(-1*L12),E13-F13,(-1*L12)/C13/12),0),2))</f>
        <v>0</v>
      </c>
      <c r="J13" s="872">
        <f t="shared" si="2"/>
        <v>17.675382746077929</v>
      </c>
      <c r="K13" s="872">
        <f>(J13*C13*12)-B13</f>
        <v>-20858571.417635918</v>
      </c>
      <c r="L13" s="872">
        <f t="shared" ref="L13:L18" si="9">K13+L12+N12</f>
        <v>-20858571.417635918</v>
      </c>
      <c r="M13" s="567">
        <v>3.5975E-2</v>
      </c>
      <c r="N13" s="875">
        <f t="shared" si="4"/>
        <v>-750387.10674945218</v>
      </c>
      <c r="O13" s="137"/>
      <c r="P13" s="137"/>
      <c r="Q13" s="144"/>
      <c r="R13" s="135"/>
      <c r="S13" s="136"/>
      <c r="T13" s="136"/>
      <c r="U13" s="136"/>
      <c r="V13" s="137"/>
      <c r="W13" s="124"/>
    </row>
    <row r="14" spans="1:29">
      <c r="A14" s="563">
        <f t="shared" si="5"/>
        <v>2010</v>
      </c>
      <c r="B14" s="565">
        <v>701126137.78162122</v>
      </c>
      <c r="C14" s="564">
        <v>3432804.1666666665</v>
      </c>
      <c r="D14" s="872">
        <f>B14/C14/12</f>
        <v>17.020247969811397</v>
      </c>
      <c r="E14" s="873">
        <f t="shared" si="6"/>
        <v>19.442921020685723</v>
      </c>
      <c r="F14" s="872">
        <f t="shared" si="7"/>
        <v>17.020247969811397</v>
      </c>
      <c r="G14" s="875">
        <f t="shared" si="0"/>
        <v>701126137.78162122</v>
      </c>
      <c r="H14" s="872">
        <f t="shared" si="1"/>
        <v>0</v>
      </c>
      <c r="I14" s="872">
        <f t="shared" si="8"/>
        <v>0.51</v>
      </c>
      <c r="J14" s="872">
        <f t="shared" si="2"/>
        <v>17.530247969811398</v>
      </c>
      <c r="K14" s="872">
        <f t="shared" si="3"/>
        <v>21008761.500000119</v>
      </c>
      <c r="L14" s="872">
        <f t="shared" si="9"/>
        <v>-600197.02438525064</v>
      </c>
      <c r="M14" s="567">
        <v>3.2500000000000001E-2</v>
      </c>
      <c r="N14" s="875">
        <f t="shared" si="4"/>
        <v>-19506.403292520645</v>
      </c>
      <c r="O14" s="137"/>
      <c r="P14" s="137"/>
      <c r="Q14" s="144"/>
      <c r="R14" s="135"/>
      <c r="S14" s="136"/>
      <c r="T14" s="136"/>
      <c r="U14" s="136"/>
      <c r="V14" s="137"/>
      <c r="W14" s="124"/>
    </row>
    <row r="15" spans="1:29">
      <c r="A15" s="563">
        <f t="shared" si="5"/>
        <v>2011</v>
      </c>
      <c r="B15" s="565">
        <v>769616677.34564734</v>
      </c>
      <c r="C15" s="564">
        <v>3581014.7798522473</v>
      </c>
      <c r="D15" s="872">
        <f>B15/C15/12</f>
        <v>17.909650491524491</v>
      </c>
      <c r="E15" s="873">
        <f t="shared" si="6"/>
        <v>19.283272766792539</v>
      </c>
      <c r="F15" s="872">
        <f t="shared" si="7"/>
        <v>17.909650491524491</v>
      </c>
      <c r="G15" s="875">
        <f t="shared" si="0"/>
        <v>769616677.34564734</v>
      </c>
      <c r="H15" s="872">
        <f t="shared" si="1"/>
        <v>0</v>
      </c>
      <c r="I15" s="872">
        <f t="shared" si="8"/>
        <v>0.01</v>
      </c>
      <c r="J15" s="872">
        <f t="shared" si="2"/>
        <v>17.919650491524493</v>
      </c>
      <c r="K15" s="872">
        <f t="shared" si="3"/>
        <v>429721.77358222008</v>
      </c>
      <c r="L15" s="872">
        <f t="shared" si="9"/>
        <v>-189981.6540955512</v>
      </c>
      <c r="M15" s="567">
        <v>3.2500000000000001E-2</v>
      </c>
      <c r="N15" s="875">
        <f t="shared" si="4"/>
        <v>-6174.4037581054145</v>
      </c>
      <c r="O15" s="137"/>
      <c r="P15" s="137"/>
      <c r="Q15" s="144"/>
      <c r="R15" s="135"/>
      <c r="S15" s="136"/>
      <c r="T15" s="136"/>
      <c r="U15" s="136"/>
      <c r="V15" s="137"/>
      <c r="W15" s="124"/>
    </row>
    <row r="16" spans="1:29">
      <c r="A16" s="563">
        <f t="shared" si="5"/>
        <v>2012</v>
      </c>
      <c r="B16" s="565">
        <v>811266581.54640353</v>
      </c>
      <c r="C16" s="564">
        <v>3537079.8874750012</v>
      </c>
      <c r="D16" s="872">
        <f t="shared" ref="D16:D21" si="10">IF(C16=0,0,B16/C16/12)</f>
        <v>19.113379005545038</v>
      </c>
      <c r="E16" s="873">
        <f t="shared" si="6"/>
        <v>19.711615540676945</v>
      </c>
      <c r="F16" s="872">
        <f t="shared" si="7"/>
        <v>19.113379005545038</v>
      </c>
      <c r="G16" s="875">
        <f t="shared" si="0"/>
        <v>811266581.54640365</v>
      </c>
      <c r="H16" s="872">
        <f t="shared" si="1"/>
        <v>0</v>
      </c>
      <c r="I16" s="872">
        <f t="shared" si="8"/>
        <v>0</v>
      </c>
      <c r="J16" s="872">
        <f t="shared" si="2"/>
        <v>19.113379005545038</v>
      </c>
      <c r="K16" s="872">
        <f t="shared" si="3"/>
        <v>0</v>
      </c>
      <c r="L16" s="872">
        <f t="shared" si="9"/>
        <v>-196156.05785365662</v>
      </c>
      <c r="M16" s="567">
        <v>3.2500000000000001E-2</v>
      </c>
      <c r="N16" s="875">
        <f t="shared" si="4"/>
        <v>-6375.0718802438405</v>
      </c>
      <c r="O16" s="137"/>
      <c r="P16" s="137"/>
      <c r="Q16" s="144"/>
      <c r="R16" s="135"/>
      <c r="S16" s="136"/>
      <c r="T16" s="136"/>
      <c r="U16" s="136"/>
      <c r="V16" s="137"/>
      <c r="W16" s="124"/>
    </row>
    <row r="17" spans="1:23">
      <c r="A17" s="563">
        <f t="shared" si="5"/>
        <v>2013</v>
      </c>
      <c r="B17" s="606">
        <v>792118860.58883774</v>
      </c>
      <c r="C17" s="607">
        <v>3467146.8569833338</v>
      </c>
      <c r="D17" s="872">
        <f t="shared" si="10"/>
        <v>19.038681593805681</v>
      </c>
      <c r="E17" s="873">
        <f t="shared" si="6"/>
        <v>21.024716906099545</v>
      </c>
      <c r="F17" s="872">
        <f t="shared" si="7"/>
        <v>19.038681593805681</v>
      </c>
      <c r="G17" s="876">
        <f t="shared" si="0"/>
        <v>792118860.58883774</v>
      </c>
      <c r="H17" s="872">
        <f t="shared" si="1"/>
        <v>0</v>
      </c>
      <c r="I17" s="872">
        <f t="shared" si="8"/>
        <v>0</v>
      </c>
      <c r="J17" s="872">
        <f t="shared" si="2"/>
        <v>19.038681593805681</v>
      </c>
      <c r="K17" s="872">
        <f t="shared" si="3"/>
        <v>0</v>
      </c>
      <c r="L17" s="872">
        <f t="shared" si="9"/>
        <v>-202531.12973390045</v>
      </c>
      <c r="M17" s="567">
        <v>3.2500000000000001E-2</v>
      </c>
      <c r="N17" s="875">
        <f t="shared" si="4"/>
        <v>-6582.2617163517652</v>
      </c>
      <c r="O17" s="137"/>
      <c r="P17" s="137"/>
      <c r="Q17" s="144"/>
      <c r="R17" s="135"/>
      <c r="S17" s="136"/>
      <c r="T17" s="136"/>
      <c r="U17" s="136"/>
      <c r="V17" s="137"/>
      <c r="W17" s="124"/>
    </row>
    <row r="18" spans="1:23">
      <c r="A18" s="563">
        <f t="shared" si="5"/>
        <v>2014</v>
      </c>
      <c r="B18" s="606">
        <v>860006345.75845778</v>
      </c>
      <c r="C18" s="607">
        <v>3531599.3640649994</v>
      </c>
      <c r="D18" s="872">
        <f t="shared" si="10"/>
        <v>20.293127303483239</v>
      </c>
      <c r="E18" s="873">
        <f t="shared" si="6"/>
        <v>20.942549753186249</v>
      </c>
      <c r="F18" s="872">
        <f t="shared" si="7"/>
        <v>20.293127303483239</v>
      </c>
      <c r="G18" s="876">
        <f t="shared" si="0"/>
        <v>860006345.75845778</v>
      </c>
      <c r="H18" s="872">
        <f t="shared" si="1"/>
        <v>0</v>
      </c>
      <c r="I18" s="872">
        <f t="shared" si="8"/>
        <v>0</v>
      </c>
      <c r="J18" s="872">
        <f t="shared" si="2"/>
        <v>20.293127303483239</v>
      </c>
      <c r="K18" s="872">
        <f t="shared" si="3"/>
        <v>0</v>
      </c>
      <c r="L18" s="872">
        <f t="shared" si="9"/>
        <v>-209113.39145025221</v>
      </c>
      <c r="M18" s="567">
        <v>3.2500000000000001E-2</v>
      </c>
      <c r="N18" s="875">
        <f t="shared" si="4"/>
        <v>-6796.1852221331974</v>
      </c>
      <c r="O18" s="137"/>
      <c r="P18" s="137"/>
      <c r="Q18" s="145"/>
      <c r="R18" s="146"/>
      <c r="S18" s="147"/>
      <c r="T18" s="147"/>
      <c r="U18" s="147"/>
      <c r="V18" s="148"/>
      <c r="W18" s="124"/>
    </row>
    <row r="19" spans="1:23">
      <c r="A19" s="563">
        <f t="shared" si="5"/>
        <v>2015</v>
      </c>
      <c r="B19" s="606">
        <v>881441440.48153746</v>
      </c>
      <c r="C19" s="607">
        <v>3329805.1342208334</v>
      </c>
      <c r="D19" s="872">
        <f t="shared" si="10"/>
        <v>22.059384982794015</v>
      </c>
      <c r="E19" s="873">
        <f t="shared" ref="E19:E24" si="11">J18*1.1</f>
        <v>22.322440033831565</v>
      </c>
      <c r="F19" s="872">
        <f t="shared" ref="F19:F24" si="12">IF(E19&lt;=D19,E19,D19)</f>
        <v>22.059384982794015</v>
      </c>
      <c r="G19" s="875">
        <f t="shared" ref="G19:G24" si="13">F19*C19*12</f>
        <v>881441440.48153746</v>
      </c>
      <c r="H19" s="872">
        <f t="shared" ref="H19:H24" si="14">G19-B19</f>
        <v>0</v>
      </c>
      <c r="I19" s="872">
        <f t="shared" ref="I19:I24" si="15">IF(B19=0,0,ROUND(IF(H19=0,IF(((E19-F19)*C19*12)&lt;(-1*L18),E19-F19,(-1*L18)/C19/12),0),2))</f>
        <v>0.01</v>
      </c>
      <c r="J19" s="872">
        <f t="shared" ref="J19:J24" si="16">F19+I19</f>
        <v>22.069384982794016</v>
      </c>
      <c r="K19" s="872">
        <f t="shared" ref="K19:K24" si="17">(J19*C19*12)-B19</f>
        <v>399576.61610662937</v>
      </c>
      <c r="L19" s="872">
        <f t="shared" ref="L19:L24" si="18">K19+L18+N18</f>
        <v>183667.03943424395</v>
      </c>
      <c r="M19" s="567">
        <v>3.2500000000000001E-2</v>
      </c>
      <c r="N19" s="875">
        <f t="shared" ref="N19:N25" si="19">L19*M19</f>
        <v>5969.178781612929</v>
      </c>
      <c r="O19" s="137"/>
      <c r="P19" s="137"/>
      <c r="Q19" s="145"/>
      <c r="R19" s="146"/>
      <c r="S19" s="147"/>
      <c r="T19" s="147"/>
      <c r="U19" s="147"/>
      <c r="V19" s="148"/>
      <c r="W19" s="124"/>
    </row>
    <row r="20" spans="1:23">
      <c r="A20" s="563">
        <f t="shared" si="5"/>
        <v>2016</v>
      </c>
      <c r="B20" s="606">
        <v>904335267.26283073</v>
      </c>
      <c r="C20" s="607">
        <v>3376829.7297899993</v>
      </c>
      <c r="D20" s="872">
        <f t="shared" si="10"/>
        <v>22.31716678133759</v>
      </c>
      <c r="E20" s="873">
        <f t="shared" si="11"/>
        <v>24.276323481073419</v>
      </c>
      <c r="F20" s="872">
        <f t="shared" si="12"/>
        <v>22.31716678133759</v>
      </c>
      <c r="G20" s="875">
        <f t="shared" si="13"/>
        <v>904335267.26283073</v>
      </c>
      <c r="H20" s="872">
        <f t="shared" si="14"/>
        <v>0</v>
      </c>
      <c r="I20" s="872">
        <f t="shared" si="15"/>
        <v>0</v>
      </c>
      <c r="J20" s="872">
        <f t="shared" si="16"/>
        <v>22.31716678133759</v>
      </c>
      <c r="K20" s="872">
        <f t="shared" si="17"/>
        <v>0</v>
      </c>
      <c r="L20" s="872">
        <f t="shared" si="18"/>
        <v>189636.21821585688</v>
      </c>
      <c r="M20" s="567">
        <v>3.4275E-2</v>
      </c>
      <c r="N20" s="875">
        <f t="shared" si="19"/>
        <v>6499.7813793484947</v>
      </c>
      <c r="O20" s="137"/>
      <c r="P20" s="137"/>
      <c r="Q20" s="145"/>
      <c r="R20" s="146"/>
      <c r="S20" s="147"/>
      <c r="T20" s="147"/>
      <c r="U20" s="147"/>
      <c r="V20" s="148"/>
      <c r="W20" s="124"/>
    </row>
    <row r="21" spans="1:23">
      <c r="A21" s="563">
        <f t="shared" si="5"/>
        <v>2017</v>
      </c>
      <c r="B21" s="606">
        <v>923883586.29315615</v>
      </c>
      <c r="C21" s="607">
        <v>3360792.1775350003</v>
      </c>
      <c r="D21" s="872">
        <f t="shared" si="10"/>
        <v>22.908378379478425</v>
      </c>
      <c r="E21" s="873">
        <f t="shared" si="11"/>
        <v>24.548883459471352</v>
      </c>
      <c r="F21" s="872">
        <f t="shared" si="12"/>
        <v>22.908378379478425</v>
      </c>
      <c r="G21" s="875">
        <f t="shared" si="13"/>
        <v>923883586.29315627</v>
      </c>
      <c r="H21" s="872">
        <f t="shared" si="14"/>
        <v>0</v>
      </c>
      <c r="I21" s="872">
        <f t="shared" si="15"/>
        <v>0</v>
      </c>
      <c r="J21" s="872">
        <f t="shared" si="16"/>
        <v>22.908378379478425</v>
      </c>
      <c r="K21" s="872">
        <f t="shared" si="17"/>
        <v>0</v>
      </c>
      <c r="L21" s="872">
        <f t="shared" si="18"/>
        <v>196135.99959520536</v>
      </c>
      <c r="M21" s="1169">
        <v>3.8449999999999998E-2</v>
      </c>
      <c r="N21" s="875">
        <f t="shared" si="19"/>
        <v>7541.4291844356458</v>
      </c>
      <c r="O21" s="137"/>
      <c r="P21" s="137"/>
      <c r="Q21" s="145"/>
      <c r="R21" s="146"/>
      <c r="S21" s="147"/>
      <c r="T21" s="147"/>
      <c r="U21" s="147"/>
      <c r="V21" s="148"/>
      <c r="W21" s="124"/>
    </row>
    <row r="22" spans="1:23">
      <c r="A22" s="563">
        <f t="shared" si="5"/>
        <v>2018</v>
      </c>
      <c r="B22" s="606">
        <v>915974713.48534918</v>
      </c>
      <c r="C22" s="607">
        <v>3484523.8169341665</v>
      </c>
      <c r="D22" s="872">
        <f t="shared" ref="D22:D27" si="20">IF(C22=0,0,B22/C22/12)</f>
        <v>21.905784013535193</v>
      </c>
      <c r="E22" s="873">
        <f t="shared" si="11"/>
        <v>25.199216217426269</v>
      </c>
      <c r="F22" s="872">
        <f t="shared" si="12"/>
        <v>21.905784013535193</v>
      </c>
      <c r="G22" s="875">
        <f t="shared" si="13"/>
        <v>915974713.48534918</v>
      </c>
      <c r="H22" s="872">
        <f t="shared" si="14"/>
        <v>0</v>
      </c>
      <c r="I22" s="872">
        <f t="shared" si="15"/>
        <v>0</v>
      </c>
      <c r="J22" s="872">
        <f t="shared" si="16"/>
        <v>21.905784013535193</v>
      </c>
      <c r="K22" s="872">
        <f t="shared" si="17"/>
        <v>0</v>
      </c>
      <c r="L22" s="872">
        <f t="shared" si="18"/>
        <v>203677.42877964099</v>
      </c>
      <c r="M22" s="1169">
        <v>4.5920000000000002E-2</v>
      </c>
      <c r="N22" s="875">
        <f t="shared" si="19"/>
        <v>9352.8675295611156</v>
      </c>
      <c r="O22" s="137"/>
      <c r="P22" s="137"/>
      <c r="Q22" s="145"/>
      <c r="R22" s="146"/>
      <c r="S22" s="147"/>
      <c r="T22" s="147"/>
      <c r="U22" s="147"/>
      <c r="V22" s="148"/>
      <c r="W22" s="124"/>
    </row>
    <row r="23" spans="1:23">
      <c r="A23" s="563">
        <v>2019</v>
      </c>
      <c r="B23" s="606">
        <v>926529068.00028813</v>
      </c>
      <c r="C23" s="607">
        <v>3451456.6489992519</v>
      </c>
      <c r="D23" s="872">
        <f t="shared" si="20"/>
        <v>22.370483977852626</v>
      </c>
      <c r="E23" s="873">
        <f t="shared" si="11"/>
        <v>24.096362414888713</v>
      </c>
      <c r="F23" s="872">
        <f t="shared" si="12"/>
        <v>22.370483977852626</v>
      </c>
      <c r="G23" s="875">
        <f t="shared" si="13"/>
        <v>926529068.00028813</v>
      </c>
      <c r="H23" s="872">
        <f t="shared" si="14"/>
        <v>0</v>
      </c>
      <c r="I23" s="872">
        <f t="shared" si="15"/>
        <v>0</v>
      </c>
      <c r="J23" s="872">
        <f t="shared" si="16"/>
        <v>22.370483977852626</v>
      </c>
      <c r="K23" s="872">
        <f t="shared" si="17"/>
        <v>0</v>
      </c>
      <c r="L23" s="872">
        <f t="shared" si="18"/>
        <v>213030.29630920209</v>
      </c>
      <c r="M23" s="1169">
        <v>5.3874999999999999E-2</v>
      </c>
      <c r="N23" s="875">
        <f t="shared" si="19"/>
        <v>11477.007213658262</v>
      </c>
      <c r="O23" s="137"/>
      <c r="P23" s="137"/>
      <c r="Q23" s="145"/>
      <c r="R23" s="146"/>
      <c r="S23" s="147"/>
      <c r="T23" s="147"/>
      <c r="U23" s="147"/>
      <c r="V23" s="148"/>
      <c r="W23" s="124"/>
    </row>
    <row r="24" spans="1:23">
      <c r="A24" s="563">
        <v>2020</v>
      </c>
      <c r="B24" s="1265">
        <v>832162652.75770795</v>
      </c>
      <c r="C24" s="1267">
        <v>3174894.8158291657</v>
      </c>
      <c r="D24" s="872">
        <f t="shared" si="20"/>
        <v>21.842263052011734</v>
      </c>
      <c r="E24" s="873">
        <f t="shared" si="11"/>
        <v>24.607532375637891</v>
      </c>
      <c r="F24" s="872">
        <f t="shared" si="12"/>
        <v>21.842263052011734</v>
      </c>
      <c r="G24" s="875">
        <f t="shared" si="13"/>
        <v>832162652.75770783</v>
      </c>
      <c r="H24" s="872">
        <f t="shared" si="14"/>
        <v>0</v>
      </c>
      <c r="I24" s="872">
        <f t="shared" si="15"/>
        <v>-0.01</v>
      </c>
      <c r="J24" s="872">
        <f t="shared" si="16"/>
        <v>21.832263052011733</v>
      </c>
      <c r="K24" s="872">
        <f t="shared" si="17"/>
        <v>-380987.37789964676</v>
      </c>
      <c r="L24" s="872">
        <f t="shared" si="18"/>
        <v>-156480.07437678639</v>
      </c>
      <c r="M24" s="1169">
        <v>4.0974999999999998E-2</v>
      </c>
      <c r="N24" s="875">
        <f t="shared" si="19"/>
        <v>-6411.7710475888216</v>
      </c>
      <c r="O24" s="137"/>
      <c r="P24" s="137"/>
      <c r="Q24" s="145"/>
      <c r="R24" s="146"/>
      <c r="S24" s="147"/>
      <c r="T24" s="147"/>
      <c r="U24" s="147"/>
      <c r="V24" s="148"/>
      <c r="W24" s="124"/>
    </row>
    <row r="25" spans="1:23">
      <c r="A25" s="563">
        <v>2021</v>
      </c>
      <c r="B25" s="606">
        <v>876151900.72104776</v>
      </c>
      <c r="C25" s="607">
        <v>3386329.4851633343</v>
      </c>
      <c r="D25" s="872">
        <f t="shared" si="20"/>
        <v>21.561002469876019</v>
      </c>
      <c r="E25" s="873">
        <f>J24*1.1</f>
        <v>24.015489357212907</v>
      </c>
      <c r="F25" s="872">
        <f>IF(E25&lt;=D25,E25,D25)</f>
        <v>21.561002469876019</v>
      </c>
      <c r="G25" s="875">
        <f>F25*C25*12</f>
        <v>876151900.72104764</v>
      </c>
      <c r="H25" s="872">
        <f>G25-B25</f>
        <v>0</v>
      </c>
      <c r="I25" s="872">
        <f>IF(B25=0,0,ROUND(IF(H25=0,IF(((E25-F25)*C25*12)&lt;(-1*L24),E25-F25,(-1*L24)/C25/12),0),2))</f>
        <v>0</v>
      </c>
      <c r="J25" s="872">
        <f>F25+I25</f>
        <v>21.561002469876019</v>
      </c>
      <c r="K25" s="872">
        <f>(J25*C25*12)-B25</f>
        <v>0</v>
      </c>
      <c r="L25" s="872">
        <f>K25+L24+N24</f>
        <v>-162891.84542437521</v>
      </c>
      <c r="M25" s="1169">
        <v>3.2500000000000001E-2</v>
      </c>
      <c r="N25" s="875">
        <f t="shared" si="19"/>
        <v>-5293.984976292194</v>
      </c>
      <c r="O25" s="137"/>
      <c r="P25" s="137"/>
      <c r="Q25" s="145"/>
      <c r="R25" s="146"/>
      <c r="S25" s="147"/>
      <c r="T25" s="147"/>
      <c r="U25" s="147"/>
      <c r="V25" s="148"/>
      <c r="W25" s="124"/>
    </row>
    <row r="26" spans="1:23">
      <c r="A26" s="1458">
        <v>2022</v>
      </c>
      <c r="B26" s="1459">
        <v>870350222.5742439</v>
      </c>
      <c r="C26" s="1460">
        <v>3558781.2822158341</v>
      </c>
      <c r="D26" s="872">
        <f t="shared" si="20"/>
        <v>20.380343567885934</v>
      </c>
      <c r="E26" s="873">
        <f>J25*1.1</f>
        <v>23.717102716863621</v>
      </c>
      <c r="F26" s="872">
        <f>IF(E26&lt;=D26,E26,D26)</f>
        <v>20.380343567885934</v>
      </c>
      <c r="G26" s="875">
        <f>F26*C26*12</f>
        <v>870350222.57424402</v>
      </c>
      <c r="H26" s="872">
        <f>G26-B26</f>
        <v>0</v>
      </c>
      <c r="I26" s="872">
        <f>IF(B26=0,0,ROUND(IF(H26=0,IF(((E26-F26)*C26*12)&lt;(-1*L25),E26-F26,(-1*L25)/C26/12),0),2))</f>
        <v>0</v>
      </c>
      <c r="J26" s="872">
        <f>F26+I26</f>
        <v>20.380343567885934</v>
      </c>
      <c r="K26" s="872">
        <f>(J26*C26*12)-B26</f>
        <v>0</v>
      </c>
      <c r="L26" s="872">
        <f>K26+L25+N25</f>
        <v>-168185.83040066739</v>
      </c>
      <c r="M26" s="1461">
        <v>3.7499999999999999E-2</v>
      </c>
      <c r="N26" s="875">
        <f t="shared" ref="N26" si="21">L26*M26</f>
        <v>-6306.9686400250266</v>
      </c>
      <c r="O26" s="137"/>
      <c r="P26" s="137"/>
      <c r="Q26" s="145"/>
      <c r="R26" s="146"/>
      <c r="S26" s="147"/>
      <c r="T26" s="147"/>
      <c r="U26" s="147"/>
      <c r="V26" s="148"/>
      <c r="W26" s="124"/>
    </row>
    <row r="27" spans="1:23">
      <c r="A27" s="1458">
        <v>2023</v>
      </c>
      <c r="B27" s="1459">
        <f>'Item 2,  Demand Chg. Calc.'!F13</f>
        <v>881446285.03947449</v>
      </c>
      <c r="C27" s="1460">
        <f>'Item 2,  Demand Chg. Calc.'!F14*1000</f>
        <v>3452009.4829624998</v>
      </c>
      <c r="D27" s="872">
        <f t="shared" si="20"/>
        <v>21.278579172263772</v>
      </c>
      <c r="E27" s="873">
        <f>J26*1.1</f>
        <v>22.41837792467453</v>
      </c>
      <c r="F27" s="872">
        <f>IF(E27&lt;=D27,E27,D27)</f>
        <v>21.278579172263772</v>
      </c>
      <c r="G27" s="875">
        <f>F27*C27*12</f>
        <v>881446285.03947449</v>
      </c>
      <c r="H27" s="872">
        <f>G27-B27</f>
        <v>0</v>
      </c>
      <c r="I27" s="872">
        <f>IF(B27=0,0,ROUND(IF(H27=0,IF(((E27-F27)*C27*12)&lt;(-1*L26),E27-F27,(-1*L26)/C27/12),0),2))</f>
        <v>0</v>
      </c>
      <c r="J27" s="872">
        <f>F27+I27</f>
        <v>21.278579172263772</v>
      </c>
      <c r="K27" s="872">
        <f>(J27*C27*12)-B27</f>
        <v>0</v>
      </c>
      <c r="L27" s="872">
        <f>K27+L26+N26</f>
        <v>-174492.79904069242</v>
      </c>
      <c r="M27" s="1461">
        <v>7.5499999999999998E-2</v>
      </c>
      <c r="N27" s="875">
        <f t="shared" ref="N27" si="22">L27*M27</f>
        <v>-13174.206327572278</v>
      </c>
      <c r="O27" s="137"/>
      <c r="P27" s="137"/>
      <c r="Q27" s="145"/>
      <c r="R27" s="146"/>
      <c r="S27" s="147"/>
      <c r="T27" s="147"/>
      <c r="U27" s="147"/>
      <c r="V27" s="148"/>
      <c r="W27" s="124"/>
    </row>
    <row r="28" spans="1:23">
      <c r="A28" s="877"/>
      <c r="B28" s="866"/>
      <c r="C28" s="866"/>
      <c r="D28" s="866"/>
      <c r="E28" s="866"/>
      <c r="F28" s="866"/>
      <c r="G28" s="866"/>
      <c r="H28" s="866"/>
      <c r="I28" s="866"/>
      <c r="J28" s="866"/>
      <c r="K28" s="866"/>
      <c r="L28" s="866"/>
      <c r="M28" s="866"/>
      <c r="N28" s="866"/>
      <c r="O28" s="137"/>
      <c r="P28" s="137"/>
      <c r="Q28" s="137"/>
      <c r="S28" s="123"/>
      <c r="T28" s="124"/>
      <c r="U28" s="124"/>
      <c r="V28" s="149"/>
      <c r="W28" s="124"/>
    </row>
    <row r="29" spans="1:23" ht="20.399999999999999">
      <c r="A29" s="866"/>
      <c r="B29" s="1749" t="s">
        <v>2244</v>
      </c>
      <c r="C29" s="1749"/>
      <c r="D29" s="1749"/>
      <c r="E29" s="1749"/>
      <c r="F29" s="1749"/>
      <c r="G29" s="1749"/>
      <c r="H29" s="1749"/>
      <c r="I29" s="1749"/>
      <c r="J29" s="1749"/>
      <c r="K29" s="1749"/>
      <c r="L29" s="1749"/>
      <c r="M29" s="1749"/>
      <c r="N29" s="1749"/>
      <c r="O29" s="137"/>
      <c r="P29" s="137"/>
      <c r="Q29" s="137"/>
    </row>
    <row r="30" spans="1:23" ht="20.399999999999999">
      <c r="A30" s="821"/>
      <c r="B30" s="866"/>
      <c r="C30" s="866"/>
      <c r="D30" s="866"/>
      <c r="E30" s="866"/>
      <c r="F30" s="866"/>
      <c r="G30" s="866"/>
      <c r="H30" s="866"/>
      <c r="I30" s="866"/>
      <c r="J30" s="866"/>
      <c r="K30" s="866"/>
      <c r="L30" s="866"/>
      <c r="M30" s="866"/>
      <c r="N30" s="866"/>
      <c r="O30" s="137"/>
      <c r="P30" s="137"/>
      <c r="Q30" s="137"/>
    </row>
    <row r="31" spans="1:23" ht="20.399999999999999">
      <c r="A31" s="866"/>
      <c r="B31" s="1749" t="s">
        <v>2245</v>
      </c>
      <c r="C31" s="1749"/>
      <c r="D31" s="1749"/>
      <c r="E31" s="1749"/>
      <c r="F31" s="1749"/>
      <c r="G31" s="1749"/>
      <c r="H31" s="1749"/>
      <c r="I31" s="1749"/>
      <c r="J31" s="1749"/>
      <c r="K31" s="1749"/>
      <c r="L31" s="1749"/>
      <c r="M31" s="1749"/>
      <c r="N31" s="1749"/>
      <c r="O31" s="137"/>
      <c r="P31" s="137"/>
      <c r="Q31" s="137"/>
    </row>
    <row r="32" spans="1:23" ht="20.399999999999999">
      <c r="A32" s="866"/>
      <c r="B32" s="821"/>
      <c r="C32" s="866"/>
      <c r="D32" s="866"/>
      <c r="E32" s="866"/>
      <c r="F32" s="866"/>
      <c r="G32" s="866"/>
      <c r="H32" s="866"/>
      <c r="I32" s="866"/>
      <c r="J32" s="866"/>
      <c r="K32" s="866"/>
      <c r="L32" s="866"/>
      <c r="M32" s="866"/>
      <c r="N32" s="866"/>
      <c r="O32" s="137"/>
      <c r="P32" s="137"/>
      <c r="Q32" s="137"/>
    </row>
    <row r="33" spans="1:17" ht="55.95" customHeight="1">
      <c r="A33" s="866"/>
      <c r="B33" s="1749" t="s">
        <v>2267</v>
      </c>
      <c r="C33" s="1749"/>
      <c r="D33" s="1749"/>
      <c r="E33" s="1749"/>
      <c r="F33" s="1749"/>
      <c r="G33" s="1749"/>
      <c r="H33" s="1749"/>
      <c r="I33" s="1749"/>
      <c r="J33" s="1749"/>
      <c r="K33" s="1749"/>
      <c r="L33" s="1749"/>
      <c r="M33" s="1749"/>
      <c r="N33" s="1749"/>
      <c r="O33" s="137"/>
      <c r="P33" s="137"/>
      <c r="Q33" s="137"/>
    </row>
    <row r="34" spans="1:17" ht="18">
      <c r="A34" s="866"/>
      <c r="B34" s="667"/>
      <c r="C34" s="866"/>
      <c r="D34" s="866"/>
      <c r="E34" s="866"/>
      <c r="F34" s="866"/>
      <c r="G34" s="866"/>
      <c r="H34" s="866"/>
      <c r="I34" s="866"/>
      <c r="J34" s="866"/>
      <c r="K34" s="866"/>
      <c r="L34" s="866"/>
      <c r="M34" s="866"/>
      <c r="N34" s="866"/>
      <c r="O34" s="137"/>
      <c r="P34" s="137"/>
      <c r="Q34" s="137"/>
    </row>
    <row r="35" spans="1:17" ht="20.399999999999999">
      <c r="A35" s="866"/>
      <c r="B35" s="1749" t="s">
        <v>889</v>
      </c>
      <c r="C35" s="1749"/>
      <c r="D35" s="1749"/>
      <c r="E35" s="1749"/>
      <c r="F35" s="1749"/>
      <c r="G35" s="1749"/>
      <c r="H35" s="1749"/>
      <c r="I35" s="1749"/>
      <c r="J35" s="1749"/>
      <c r="K35" s="1749"/>
      <c r="L35" s="1749"/>
      <c r="M35" s="1749"/>
      <c r="N35" s="1749"/>
      <c r="O35" s="137"/>
      <c r="P35" s="137"/>
      <c r="Q35" s="137"/>
    </row>
    <row r="40" spans="1:17">
      <c r="C40" s="11"/>
      <c r="D40" s="8"/>
      <c r="E40" s="11"/>
    </row>
    <row r="41" spans="1:17">
      <c r="C41" s="11"/>
      <c r="D41" s="11"/>
      <c r="E41" s="11"/>
    </row>
    <row r="42" spans="1:17">
      <c r="C42" s="11"/>
      <c r="D42" s="11"/>
      <c r="E42" s="11"/>
    </row>
  </sheetData>
  <sheetProtection sheet="1" objects="1" scenarios="1"/>
  <mergeCells count="6">
    <mergeCell ref="B35:N35"/>
    <mergeCell ref="A2:N2"/>
    <mergeCell ref="A1:N1"/>
    <mergeCell ref="B29:N29"/>
    <mergeCell ref="B31:N31"/>
    <mergeCell ref="B33:N33"/>
  </mergeCells>
  <phoneticPr fontId="26" type="noConversion"/>
  <printOptions horizontalCentered="1"/>
  <pageMargins left="0.25" right="0.25" top="0.87" bottom="0.25" header="0.5" footer="0.5"/>
  <pageSetup scale="58" orientation="landscape" r:id="rId1"/>
  <headerFooter alignWithMargins="0">
    <oddHeader>&amp;C&amp;"Times New Roman,Bold"&amp;16ATTACHMENT D, Page &amp;P of &amp;N
EVERGY</oddHeader>
    <oddFooter>&amp;R&amp;1#&amp;"Calibri"&amp;10&amp;KA80000Internal Use 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258"/>
  <sheetViews>
    <sheetView view="pageBreakPreview" zoomScale="90" zoomScaleNormal="75" zoomScaleSheetLayoutView="90" workbookViewId="0">
      <pane xSplit="3" ySplit="9" topLeftCell="D206" activePane="bottomRight" state="frozen"/>
      <selection activeCell="M16" sqref="M16"/>
      <selection pane="topRight" activeCell="M16" sqref="M16"/>
      <selection pane="bottomLeft" activeCell="M16" sqref="M16"/>
      <selection pane="bottomRight" activeCell="A207" sqref="A207"/>
    </sheetView>
  </sheetViews>
  <sheetFormatPr defaultColWidth="9.109375" defaultRowHeight="13.2"/>
  <cols>
    <col min="1" max="1" width="7.6640625" style="38" customWidth="1"/>
    <col min="2" max="2" width="8.33203125" style="38" customWidth="1"/>
    <col min="3" max="4" width="20.6640625" style="9" customWidth="1"/>
    <col min="5" max="5" width="22.44140625" style="9" customWidth="1"/>
    <col min="6" max="6" width="50.5546875" style="9" customWidth="1"/>
    <col min="7" max="7" width="59.6640625" style="9" customWidth="1"/>
    <col min="8" max="8" width="11" style="9" customWidth="1"/>
    <col min="9" max="16384" width="9.109375" style="9"/>
  </cols>
  <sheetData>
    <row r="1" spans="1:7" ht="20.399999999999999">
      <c r="A1" s="1751" t="s">
        <v>3014</v>
      </c>
      <c r="B1" s="1751"/>
      <c r="C1" s="1751"/>
      <c r="D1" s="1751"/>
      <c r="E1" s="1751"/>
      <c r="F1" s="1751"/>
      <c r="G1" s="1752"/>
    </row>
    <row r="2" spans="1:7" ht="19.2">
      <c r="A2" s="1753" t="str">
        <f>' Net Monthly Bill'!A2:B2</f>
        <v>For Contract Year Beginning June 1, 2024, Based on 2023 Data</v>
      </c>
      <c r="B2" s="1750"/>
      <c r="C2" s="1750"/>
      <c r="D2" s="1750"/>
      <c r="E2" s="1750"/>
      <c r="F2" s="1750"/>
      <c r="G2" s="1750"/>
    </row>
    <row r="3" spans="1:7">
      <c r="A3" s="878"/>
      <c r="B3" s="879"/>
      <c r="C3" s="880"/>
      <c r="D3" s="880"/>
      <c r="E3" s="880"/>
      <c r="F3" s="880"/>
      <c r="G3" s="510"/>
    </row>
    <row r="4" spans="1:7">
      <c r="A4" s="878"/>
      <c r="B4" s="879"/>
      <c r="C4" s="881"/>
      <c r="D4" s="882" t="s">
        <v>480</v>
      </c>
      <c r="E4" s="882" t="s">
        <v>481</v>
      </c>
      <c r="F4" s="882" t="s">
        <v>482</v>
      </c>
      <c r="G4" s="882" t="s">
        <v>483</v>
      </c>
    </row>
    <row r="5" spans="1:7">
      <c r="A5" s="878"/>
      <c r="B5" s="879"/>
      <c r="C5" s="880"/>
      <c r="D5" s="880"/>
      <c r="E5" s="883" t="s">
        <v>1578</v>
      </c>
      <c r="F5" s="884" t="s">
        <v>476</v>
      </c>
      <c r="G5" s="510"/>
    </row>
    <row r="6" spans="1:7" ht="15.6">
      <c r="A6" s="878"/>
      <c r="B6" s="879"/>
      <c r="C6" s="880"/>
      <c r="D6" s="882" t="s">
        <v>476</v>
      </c>
      <c r="E6" s="884" t="s">
        <v>1570</v>
      </c>
      <c r="F6" s="884" t="s">
        <v>862</v>
      </c>
      <c r="G6" s="884" t="s">
        <v>486</v>
      </c>
    </row>
    <row r="7" spans="1:7">
      <c r="A7" s="878"/>
      <c r="B7" s="879"/>
      <c r="C7" s="880"/>
      <c r="D7" s="884" t="s">
        <v>487</v>
      </c>
      <c r="E7" s="884" t="s">
        <v>1581</v>
      </c>
      <c r="F7" s="884"/>
      <c r="G7" s="884" t="s">
        <v>300</v>
      </c>
    </row>
    <row r="8" spans="1:7">
      <c r="A8" s="878"/>
      <c r="B8" s="879"/>
      <c r="C8" s="880"/>
      <c r="D8" s="884"/>
      <c r="E8" s="884" t="s">
        <v>1582</v>
      </c>
      <c r="F8" s="884"/>
      <c r="G8" s="510"/>
    </row>
    <row r="9" spans="1:7" ht="15.6">
      <c r="A9" s="885" t="s">
        <v>494</v>
      </c>
      <c r="B9" s="879" t="s">
        <v>1078</v>
      </c>
      <c r="C9" s="880" t="s">
        <v>1197</v>
      </c>
      <c r="D9" s="884"/>
      <c r="E9" s="884"/>
      <c r="F9" s="884"/>
      <c r="G9" s="510"/>
    </row>
    <row r="10" spans="1:7">
      <c r="A10" s="878"/>
      <c r="B10" s="879"/>
      <c r="C10" s="880"/>
      <c r="D10" s="884"/>
      <c r="E10" s="884"/>
      <c r="F10" s="884"/>
      <c r="G10" s="510"/>
    </row>
    <row r="11" spans="1:7" ht="26.4">
      <c r="A11" s="505">
        <v>1</v>
      </c>
      <c r="B11" s="749" t="s">
        <v>1159</v>
      </c>
      <c r="C11" s="510" t="s">
        <v>1160</v>
      </c>
      <c r="D11" s="1595">
        <v>0</v>
      </c>
      <c r="E11" s="771" t="s">
        <v>1585</v>
      </c>
      <c r="F11" s="532" t="s">
        <v>1161</v>
      </c>
      <c r="G11" s="570" t="s">
        <v>1162</v>
      </c>
    </row>
    <row r="12" spans="1:7" ht="39.6">
      <c r="A12" s="505">
        <f>A11+1</f>
        <v>2</v>
      </c>
      <c r="B12" s="749" t="s">
        <v>1159</v>
      </c>
      <c r="C12" s="510" t="s">
        <v>1163</v>
      </c>
      <c r="D12" s="1595">
        <v>0</v>
      </c>
      <c r="E12" s="771" t="s">
        <v>1534</v>
      </c>
      <c r="F12" s="532" t="s">
        <v>142</v>
      </c>
      <c r="G12" s="570" t="s">
        <v>405</v>
      </c>
    </row>
    <row r="13" spans="1:7" ht="69.599999999999994" customHeight="1">
      <c r="A13" s="505">
        <f>A12+1</f>
        <v>3</v>
      </c>
      <c r="B13" s="749" t="s">
        <v>1159</v>
      </c>
      <c r="C13" s="510" t="s">
        <v>811</v>
      </c>
      <c r="D13" s="1341">
        <v>0</v>
      </c>
      <c r="E13" s="771" t="s">
        <v>1585</v>
      </c>
      <c r="F13" s="510" t="s">
        <v>737</v>
      </c>
      <c r="G13" s="570" t="s">
        <v>1223</v>
      </c>
    </row>
    <row r="14" spans="1:7" ht="79.2">
      <c r="A14" s="505">
        <f t="shared" ref="A14:A77" si="0">A13+1</f>
        <v>4</v>
      </c>
      <c r="B14" s="749" t="s">
        <v>1159</v>
      </c>
      <c r="C14" s="510" t="s">
        <v>812</v>
      </c>
      <c r="D14" s="1341">
        <v>0</v>
      </c>
      <c r="E14" s="771" t="s">
        <v>1534</v>
      </c>
      <c r="F14" s="570" t="s">
        <v>658</v>
      </c>
      <c r="G14" s="570" t="s">
        <v>1248</v>
      </c>
    </row>
    <row r="15" spans="1:7" ht="92.4">
      <c r="A15" s="505">
        <f t="shared" si="0"/>
        <v>5</v>
      </c>
      <c r="B15" s="749" t="s">
        <v>1159</v>
      </c>
      <c r="C15" s="886" t="s">
        <v>813</v>
      </c>
      <c r="D15" s="1341">
        <v>0</v>
      </c>
      <c r="E15" s="771" t="s">
        <v>1585</v>
      </c>
      <c r="F15" s="510" t="s">
        <v>659</v>
      </c>
      <c r="G15" s="570" t="s">
        <v>780</v>
      </c>
    </row>
    <row r="16" spans="1:7" ht="39.6">
      <c r="A16" s="505">
        <f t="shared" si="0"/>
        <v>6</v>
      </c>
      <c r="B16" s="749" t="s">
        <v>1159</v>
      </c>
      <c r="C16" s="510" t="s">
        <v>814</v>
      </c>
      <c r="D16" s="1341">
        <v>0</v>
      </c>
      <c r="E16" s="771" t="s">
        <v>1585</v>
      </c>
      <c r="F16" s="570" t="s">
        <v>738</v>
      </c>
      <c r="G16" s="570" t="s">
        <v>781</v>
      </c>
    </row>
    <row r="17" spans="1:7" ht="39.6">
      <c r="A17" s="505">
        <f t="shared" si="0"/>
        <v>7</v>
      </c>
      <c r="B17" s="749" t="s">
        <v>1159</v>
      </c>
      <c r="C17" s="887" t="s">
        <v>1249</v>
      </c>
      <c r="D17" s="1341">
        <v>0</v>
      </c>
      <c r="E17" s="771" t="s">
        <v>1585</v>
      </c>
      <c r="F17" s="510" t="s">
        <v>1250</v>
      </c>
      <c r="G17" s="570" t="s">
        <v>1251</v>
      </c>
    </row>
    <row r="18" spans="1:7" ht="28.95" customHeight="1">
      <c r="A18" s="505">
        <f t="shared" si="0"/>
        <v>8</v>
      </c>
      <c r="B18" s="749" t="s">
        <v>1159</v>
      </c>
      <c r="C18" s="886" t="s">
        <v>1521</v>
      </c>
      <c r="D18" s="1341">
        <v>0</v>
      </c>
      <c r="E18" s="771" t="s">
        <v>1585</v>
      </c>
      <c r="F18" s="510" t="s">
        <v>1260</v>
      </c>
      <c r="G18" s="570" t="s">
        <v>1522</v>
      </c>
    </row>
    <row r="19" spans="1:7" ht="52.8">
      <c r="A19" s="505">
        <f t="shared" si="0"/>
        <v>9</v>
      </c>
      <c r="B19" s="749" t="s">
        <v>1159</v>
      </c>
      <c r="C19" s="887" t="s">
        <v>1261</v>
      </c>
      <c r="D19" s="1341">
        <v>0</v>
      </c>
      <c r="E19" s="771" t="s">
        <v>1585</v>
      </c>
      <c r="F19" s="510" t="s">
        <v>1262</v>
      </c>
      <c r="G19" s="570" t="s">
        <v>1149</v>
      </c>
    </row>
    <row r="20" spans="1:7" ht="39.6">
      <c r="A20" s="505">
        <f t="shared" si="0"/>
        <v>10</v>
      </c>
      <c r="B20" s="749" t="s">
        <v>1159</v>
      </c>
      <c r="C20" s="510" t="s">
        <v>1150</v>
      </c>
      <c r="D20" s="1341">
        <v>0</v>
      </c>
      <c r="E20" s="771" t="s">
        <v>1585</v>
      </c>
      <c r="F20" s="570" t="s">
        <v>1151</v>
      </c>
      <c r="G20" s="570" t="s">
        <v>1152</v>
      </c>
    </row>
    <row r="21" spans="1:7" ht="79.2">
      <c r="A21" s="505">
        <f t="shared" si="0"/>
        <v>11</v>
      </c>
      <c r="B21" s="749" t="s">
        <v>1159</v>
      </c>
      <c r="C21" s="510" t="s">
        <v>1153</v>
      </c>
      <c r="D21" s="1341">
        <v>0</v>
      </c>
      <c r="E21" s="771" t="s">
        <v>1534</v>
      </c>
      <c r="F21" s="510" t="s">
        <v>1154</v>
      </c>
      <c r="G21" s="570" t="s">
        <v>580</v>
      </c>
    </row>
    <row r="22" spans="1:7" ht="83.4" customHeight="1">
      <c r="A22" s="505">
        <f t="shared" si="0"/>
        <v>12</v>
      </c>
      <c r="B22" s="749" t="s">
        <v>1159</v>
      </c>
      <c r="C22" s="510" t="s">
        <v>581</v>
      </c>
      <c r="D22" s="1341">
        <v>0</v>
      </c>
      <c r="E22" s="771" t="s">
        <v>1534</v>
      </c>
      <c r="F22" s="510" t="s">
        <v>582</v>
      </c>
      <c r="G22" s="570" t="s">
        <v>583</v>
      </c>
    </row>
    <row r="23" spans="1:7" ht="52.8">
      <c r="A23" s="505">
        <f t="shared" si="0"/>
        <v>13</v>
      </c>
      <c r="B23" s="749" t="s">
        <v>1159</v>
      </c>
      <c r="C23" s="570" t="s">
        <v>584</v>
      </c>
      <c r="D23" s="1341">
        <v>0</v>
      </c>
      <c r="E23" s="771" t="s">
        <v>1585</v>
      </c>
      <c r="F23" s="510" t="s">
        <v>585</v>
      </c>
      <c r="G23" s="570" t="s">
        <v>586</v>
      </c>
    </row>
    <row r="24" spans="1:7" ht="132">
      <c r="A24" s="505">
        <f t="shared" si="0"/>
        <v>14</v>
      </c>
      <c r="B24" s="749" t="s">
        <v>1159</v>
      </c>
      <c r="C24" s="510" t="s">
        <v>587</v>
      </c>
      <c r="D24" s="1341">
        <v>0</v>
      </c>
      <c r="E24" s="771" t="s">
        <v>1585</v>
      </c>
      <c r="F24" s="510" t="s">
        <v>588</v>
      </c>
      <c r="G24" s="570" t="s">
        <v>456</v>
      </c>
    </row>
    <row r="25" spans="1:7" ht="123" customHeight="1">
      <c r="A25" s="505">
        <f t="shared" si="0"/>
        <v>15</v>
      </c>
      <c r="B25" s="749" t="s">
        <v>1159</v>
      </c>
      <c r="C25" s="510" t="s">
        <v>457</v>
      </c>
      <c r="D25" s="1341">
        <v>0</v>
      </c>
      <c r="E25" s="771" t="s">
        <v>1585</v>
      </c>
      <c r="F25" s="510" t="s">
        <v>458</v>
      </c>
      <c r="G25" s="570" t="s">
        <v>459</v>
      </c>
    </row>
    <row r="26" spans="1:7" ht="83.4" customHeight="1">
      <c r="A26" s="505">
        <f t="shared" si="0"/>
        <v>16</v>
      </c>
      <c r="B26" s="749" t="s">
        <v>1159</v>
      </c>
      <c r="C26" s="570" t="s">
        <v>1523</v>
      </c>
      <c r="D26" s="1341">
        <v>0</v>
      </c>
      <c r="E26" s="771" t="s">
        <v>1585</v>
      </c>
      <c r="F26" s="510" t="s">
        <v>460</v>
      </c>
      <c r="G26" s="570" t="s">
        <v>461</v>
      </c>
    </row>
    <row r="27" spans="1:7" ht="26.4">
      <c r="A27" s="505">
        <f t="shared" si="0"/>
        <v>17</v>
      </c>
      <c r="B27" s="749" t="s">
        <v>1159</v>
      </c>
      <c r="C27" s="570" t="s">
        <v>462</v>
      </c>
      <c r="D27" s="1341">
        <v>0</v>
      </c>
      <c r="E27" s="771" t="s">
        <v>1534</v>
      </c>
      <c r="F27" s="510" t="s">
        <v>463</v>
      </c>
      <c r="G27" s="570" t="s">
        <v>464</v>
      </c>
    </row>
    <row r="28" spans="1:7" ht="29.4" customHeight="1">
      <c r="A28" s="505">
        <f t="shared" si="0"/>
        <v>18</v>
      </c>
      <c r="B28" s="749" t="s">
        <v>1159</v>
      </c>
      <c r="C28" s="570" t="s">
        <v>1524</v>
      </c>
      <c r="D28" s="1341">
        <v>0</v>
      </c>
      <c r="E28" s="771" t="s">
        <v>1585</v>
      </c>
      <c r="F28" s="570" t="s">
        <v>1237</v>
      </c>
      <c r="G28" s="570" t="s">
        <v>1238</v>
      </c>
    </row>
    <row r="29" spans="1:7" ht="83.4" customHeight="1">
      <c r="A29" s="505">
        <f t="shared" si="0"/>
        <v>19</v>
      </c>
      <c r="B29" s="749" t="s">
        <v>1159</v>
      </c>
      <c r="C29" s="510" t="s">
        <v>1239</v>
      </c>
      <c r="D29" s="1341">
        <v>0</v>
      </c>
      <c r="E29" s="771" t="s">
        <v>1534</v>
      </c>
      <c r="F29" s="570" t="s">
        <v>1240</v>
      </c>
      <c r="G29" s="570" t="s">
        <v>1386</v>
      </c>
    </row>
    <row r="30" spans="1:7" ht="15" customHeight="1">
      <c r="A30" s="505">
        <f t="shared" si="0"/>
        <v>20</v>
      </c>
      <c r="B30" s="749" t="s">
        <v>1159</v>
      </c>
      <c r="C30" s="888" t="s">
        <v>1387</v>
      </c>
      <c r="D30" s="1341">
        <v>0</v>
      </c>
      <c r="E30" s="771" t="s">
        <v>1585</v>
      </c>
      <c r="F30" s="570" t="s">
        <v>1388</v>
      </c>
      <c r="G30" s="570" t="s">
        <v>1389</v>
      </c>
    </row>
    <row r="31" spans="1:7" ht="39.6">
      <c r="A31" s="505">
        <f t="shared" si="0"/>
        <v>21</v>
      </c>
      <c r="B31" s="749" t="s">
        <v>1159</v>
      </c>
      <c r="C31" s="888" t="s">
        <v>1390</v>
      </c>
      <c r="D31" s="1341">
        <v>0</v>
      </c>
      <c r="E31" s="771" t="s">
        <v>1585</v>
      </c>
      <c r="F31" s="570" t="s">
        <v>1391</v>
      </c>
      <c r="G31" s="570" t="s">
        <v>1392</v>
      </c>
    </row>
    <row r="32" spans="1:7">
      <c r="A32" s="505">
        <f t="shared" si="0"/>
        <v>22</v>
      </c>
      <c r="B32" s="749" t="s">
        <v>1159</v>
      </c>
      <c r="C32" s="510" t="s">
        <v>1393</v>
      </c>
      <c r="D32" s="1341">
        <v>0</v>
      </c>
      <c r="E32" s="771" t="s">
        <v>1585</v>
      </c>
      <c r="F32" s="570" t="s">
        <v>1394</v>
      </c>
      <c r="G32" s="570" t="s">
        <v>1395</v>
      </c>
    </row>
    <row r="33" spans="1:7" ht="52.8">
      <c r="A33" s="505">
        <f t="shared" si="0"/>
        <v>23</v>
      </c>
      <c r="B33" s="749" t="s">
        <v>1159</v>
      </c>
      <c r="C33" s="510" t="s">
        <v>1396</v>
      </c>
      <c r="D33" s="1341">
        <v>0</v>
      </c>
      <c r="E33" s="771" t="s">
        <v>1585</v>
      </c>
      <c r="F33" s="570" t="s">
        <v>1397</v>
      </c>
      <c r="G33" s="570" t="s">
        <v>131</v>
      </c>
    </row>
    <row r="34" spans="1:7" ht="26.4">
      <c r="A34" s="505">
        <f t="shared" si="0"/>
        <v>24</v>
      </c>
      <c r="B34" s="749" t="s">
        <v>1159</v>
      </c>
      <c r="C34" s="510" t="s">
        <v>132</v>
      </c>
      <c r="D34" s="1341">
        <v>0</v>
      </c>
      <c r="E34" s="771" t="s">
        <v>1585</v>
      </c>
      <c r="F34" s="570" t="s">
        <v>133</v>
      </c>
      <c r="G34" s="570" t="s">
        <v>134</v>
      </c>
    </row>
    <row r="35" spans="1:7" ht="66">
      <c r="A35" s="505">
        <f t="shared" si="0"/>
        <v>25</v>
      </c>
      <c r="B35" s="749" t="s">
        <v>1159</v>
      </c>
      <c r="C35" s="887" t="s">
        <v>135</v>
      </c>
      <c r="D35" s="1341">
        <v>0</v>
      </c>
      <c r="E35" s="771" t="s">
        <v>1534</v>
      </c>
      <c r="F35" s="510" t="s">
        <v>136</v>
      </c>
      <c r="G35" s="570" t="s">
        <v>44</v>
      </c>
    </row>
    <row r="36" spans="1:7" ht="42" customHeight="1">
      <c r="A36" s="505">
        <f t="shared" si="0"/>
        <v>26</v>
      </c>
      <c r="B36" s="749" t="s">
        <v>1159</v>
      </c>
      <c r="C36" s="510" t="s">
        <v>45</v>
      </c>
      <c r="D36" s="1341">
        <v>0</v>
      </c>
      <c r="E36" s="771" t="s">
        <v>1534</v>
      </c>
      <c r="F36" s="510" t="s">
        <v>142</v>
      </c>
      <c r="G36" s="570" t="s">
        <v>405</v>
      </c>
    </row>
    <row r="37" spans="1:7" ht="108.6" customHeight="1">
      <c r="A37" s="505">
        <f t="shared" si="0"/>
        <v>27</v>
      </c>
      <c r="B37" s="749" t="s">
        <v>1159</v>
      </c>
      <c r="C37" s="510" t="s">
        <v>809</v>
      </c>
      <c r="D37" s="1341">
        <v>0</v>
      </c>
      <c r="E37" s="771" t="s">
        <v>1585</v>
      </c>
      <c r="F37" s="510" t="s">
        <v>735</v>
      </c>
      <c r="G37" s="570" t="s">
        <v>1206</v>
      </c>
    </row>
    <row r="38" spans="1:7" ht="105.6">
      <c r="A38" s="505">
        <f t="shared" si="0"/>
        <v>28</v>
      </c>
      <c r="B38" s="749" t="s">
        <v>1159</v>
      </c>
      <c r="C38" s="510" t="s">
        <v>810</v>
      </c>
      <c r="D38" s="1341">
        <v>0</v>
      </c>
      <c r="E38" s="771" t="s">
        <v>1585</v>
      </c>
      <c r="F38" s="510" t="s">
        <v>736</v>
      </c>
      <c r="G38" s="570" t="s">
        <v>1207</v>
      </c>
    </row>
    <row r="39" spans="1:7" ht="66">
      <c r="A39" s="505">
        <f t="shared" si="0"/>
        <v>29</v>
      </c>
      <c r="B39" s="749" t="s">
        <v>1159</v>
      </c>
      <c r="C39" s="510" t="s">
        <v>46</v>
      </c>
      <c r="D39" s="1341">
        <v>0</v>
      </c>
      <c r="E39" s="771" t="s">
        <v>1585</v>
      </c>
      <c r="F39" s="510" t="s">
        <v>47</v>
      </c>
      <c r="G39" s="570" t="s">
        <v>48</v>
      </c>
    </row>
    <row r="40" spans="1:7" ht="39.6">
      <c r="A40" s="505">
        <f t="shared" si="0"/>
        <v>30</v>
      </c>
      <c r="B40" s="749" t="s">
        <v>1159</v>
      </c>
      <c r="C40" s="510" t="s">
        <v>49</v>
      </c>
      <c r="D40" s="1341">
        <v>0</v>
      </c>
      <c r="E40" s="771" t="s">
        <v>1534</v>
      </c>
      <c r="F40" s="510" t="s">
        <v>50</v>
      </c>
      <c r="G40" s="570" t="s">
        <v>51</v>
      </c>
    </row>
    <row r="41" spans="1:7" ht="66">
      <c r="A41" s="505">
        <f t="shared" si="0"/>
        <v>31</v>
      </c>
      <c r="B41" s="749" t="s">
        <v>1159</v>
      </c>
      <c r="C41" s="570" t="s">
        <v>1525</v>
      </c>
      <c r="D41" s="1341">
        <v>0</v>
      </c>
      <c r="E41" s="771" t="s">
        <v>1534</v>
      </c>
      <c r="F41" s="510" t="s">
        <v>50</v>
      </c>
      <c r="G41" s="570" t="s">
        <v>1447</v>
      </c>
    </row>
    <row r="42" spans="1:7" ht="66">
      <c r="A42" s="505">
        <f t="shared" si="0"/>
        <v>32</v>
      </c>
      <c r="B42" s="749" t="s">
        <v>1159</v>
      </c>
      <c r="C42" s="510" t="s">
        <v>1448</v>
      </c>
      <c r="D42" s="1341">
        <v>0</v>
      </c>
      <c r="E42" s="771" t="s">
        <v>1585</v>
      </c>
      <c r="F42" s="510" t="s">
        <v>1449</v>
      </c>
      <c r="G42" s="570" t="s">
        <v>645</v>
      </c>
    </row>
    <row r="43" spans="1:7" ht="118.8">
      <c r="A43" s="505">
        <f t="shared" si="0"/>
        <v>33</v>
      </c>
      <c r="B43" s="749" t="s">
        <v>1159</v>
      </c>
      <c r="C43" s="510" t="s">
        <v>646</v>
      </c>
      <c r="D43" s="1341">
        <v>0</v>
      </c>
      <c r="E43" s="771" t="s">
        <v>1585</v>
      </c>
      <c r="F43" s="510" t="s">
        <v>647</v>
      </c>
      <c r="G43" s="570" t="s">
        <v>1446</v>
      </c>
    </row>
    <row r="44" spans="1:7" ht="52.8">
      <c r="A44" s="505">
        <f t="shared" si="0"/>
        <v>34</v>
      </c>
      <c r="B44" s="749" t="s">
        <v>1159</v>
      </c>
      <c r="C44" s="510" t="s">
        <v>648</v>
      </c>
      <c r="D44" s="1341">
        <v>0</v>
      </c>
      <c r="E44" s="771" t="s">
        <v>1585</v>
      </c>
      <c r="F44" s="510" t="s">
        <v>649</v>
      </c>
      <c r="G44" s="570" t="s">
        <v>2</v>
      </c>
    </row>
    <row r="45" spans="1:7" ht="52.8">
      <c r="A45" s="505">
        <f t="shared" si="0"/>
        <v>35</v>
      </c>
      <c r="B45" s="749" t="s">
        <v>1159</v>
      </c>
      <c r="C45" s="510" t="s">
        <v>3</v>
      </c>
      <c r="D45" s="1341">
        <v>0</v>
      </c>
      <c r="E45" s="771" t="s">
        <v>1585</v>
      </c>
      <c r="F45" s="510" t="s">
        <v>4</v>
      </c>
      <c r="G45" s="570" t="s">
        <v>5</v>
      </c>
    </row>
    <row r="46" spans="1:7" ht="66">
      <c r="A46" s="505">
        <f t="shared" si="0"/>
        <v>36</v>
      </c>
      <c r="B46" s="749" t="s">
        <v>1159</v>
      </c>
      <c r="C46" s="510" t="s">
        <v>6</v>
      </c>
      <c r="D46" s="1341">
        <v>0</v>
      </c>
      <c r="E46" s="771" t="s">
        <v>1585</v>
      </c>
      <c r="F46" s="510" t="s">
        <v>7</v>
      </c>
      <c r="G46" s="570" t="s">
        <v>8</v>
      </c>
    </row>
    <row r="47" spans="1:7" ht="43.95" customHeight="1">
      <c r="A47" s="505">
        <f t="shared" si="0"/>
        <v>37</v>
      </c>
      <c r="B47" s="749" t="s">
        <v>1159</v>
      </c>
      <c r="C47" s="570" t="s">
        <v>9</v>
      </c>
      <c r="D47" s="1341">
        <v>0</v>
      </c>
      <c r="E47" s="771" t="s">
        <v>1585</v>
      </c>
      <c r="F47" s="510" t="s">
        <v>10</v>
      </c>
      <c r="G47" s="570" t="s">
        <v>1445</v>
      </c>
    </row>
    <row r="48" spans="1:7" ht="55.2" customHeight="1">
      <c r="A48" s="505">
        <f t="shared" si="0"/>
        <v>38</v>
      </c>
      <c r="B48" s="749" t="s">
        <v>1159</v>
      </c>
      <c r="C48" s="510" t="s">
        <v>11</v>
      </c>
      <c r="D48" s="1341">
        <v>0</v>
      </c>
      <c r="E48" s="771" t="s">
        <v>1585</v>
      </c>
      <c r="F48" s="510" t="s">
        <v>12</v>
      </c>
      <c r="G48" s="570" t="s">
        <v>1607</v>
      </c>
    </row>
    <row r="49" spans="1:7" ht="109.2" customHeight="1">
      <c r="A49" s="505">
        <f t="shared" si="0"/>
        <v>39</v>
      </c>
      <c r="B49" s="749" t="s">
        <v>1159</v>
      </c>
      <c r="C49" s="510" t="s">
        <v>1608</v>
      </c>
      <c r="D49" s="1341">
        <v>0</v>
      </c>
      <c r="E49" s="771" t="s">
        <v>1585</v>
      </c>
      <c r="F49" s="510" t="s">
        <v>1609</v>
      </c>
      <c r="G49" s="570" t="s">
        <v>650</v>
      </c>
    </row>
    <row r="50" spans="1:7" ht="52.8">
      <c r="A50" s="505">
        <f t="shared" si="0"/>
        <v>40</v>
      </c>
      <c r="B50" s="749" t="s">
        <v>1159</v>
      </c>
      <c r="C50" s="510" t="s">
        <v>651</v>
      </c>
      <c r="D50" s="1341">
        <v>0</v>
      </c>
      <c r="E50" s="771" t="s">
        <v>1585</v>
      </c>
      <c r="F50" s="510" t="s">
        <v>652</v>
      </c>
      <c r="G50" s="570" t="s">
        <v>40</v>
      </c>
    </row>
    <row r="51" spans="1:7" ht="66">
      <c r="A51" s="505">
        <f t="shared" si="0"/>
        <v>41</v>
      </c>
      <c r="B51" s="749" t="s">
        <v>1159</v>
      </c>
      <c r="C51" s="570" t="s">
        <v>1526</v>
      </c>
      <c r="D51" s="1341">
        <v>0</v>
      </c>
      <c r="E51" s="771" t="s">
        <v>1534</v>
      </c>
      <c r="F51" s="510" t="s">
        <v>41</v>
      </c>
      <c r="G51" s="570" t="s">
        <v>42</v>
      </c>
    </row>
    <row r="52" spans="1:7" ht="52.8">
      <c r="A52" s="505">
        <f t="shared" si="0"/>
        <v>42</v>
      </c>
      <c r="B52" s="749" t="s">
        <v>1159</v>
      </c>
      <c r="C52" s="889" t="s">
        <v>1527</v>
      </c>
      <c r="D52" s="1341">
        <v>0</v>
      </c>
      <c r="E52" s="771" t="s">
        <v>1534</v>
      </c>
      <c r="F52" s="510" t="s">
        <v>50</v>
      </c>
      <c r="G52" s="570" t="s">
        <v>43</v>
      </c>
    </row>
    <row r="53" spans="1:7" ht="66">
      <c r="A53" s="505">
        <f t="shared" si="0"/>
        <v>43</v>
      </c>
      <c r="B53" s="749" t="s">
        <v>1159</v>
      </c>
      <c r="C53" s="889" t="s">
        <v>1528</v>
      </c>
      <c r="D53" s="1341">
        <v>0</v>
      </c>
      <c r="E53" s="771" t="s">
        <v>1534</v>
      </c>
      <c r="F53" s="510" t="s">
        <v>50</v>
      </c>
      <c r="G53" s="570" t="s">
        <v>1454</v>
      </c>
    </row>
    <row r="54" spans="1:7" ht="39.6">
      <c r="A54" s="505">
        <f t="shared" si="0"/>
        <v>44</v>
      </c>
      <c r="B54" s="749" t="s">
        <v>1159</v>
      </c>
      <c r="C54" s="888" t="s">
        <v>1455</v>
      </c>
      <c r="D54" s="1341">
        <v>0</v>
      </c>
      <c r="E54" s="771" t="s">
        <v>1534</v>
      </c>
      <c r="F54" s="510" t="s">
        <v>142</v>
      </c>
      <c r="G54" s="570" t="s">
        <v>405</v>
      </c>
    </row>
    <row r="55" spans="1:7">
      <c r="A55" s="505">
        <f t="shared" si="0"/>
        <v>45</v>
      </c>
      <c r="B55" s="749" t="s">
        <v>1159</v>
      </c>
      <c r="C55" s="888" t="s">
        <v>1456</v>
      </c>
      <c r="D55" s="1341">
        <v>0</v>
      </c>
      <c r="E55" s="771" t="s">
        <v>1585</v>
      </c>
      <c r="F55" s="510" t="s">
        <v>1457</v>
      </c>
      <c r="G55" s="570" t="s">
        <v>1458</v>
      </c>
    </row>
    <row r="56" spans="1:7" ht="39.6">
      <c r="A56" s="505">
        <f t="shared" si="0"/>
        <v>46</v>
      </c>
      <c r="B56" s="749" t="s">
        <v>1159</v>
      </c>
      <c r="C56" s="888" t="s">
        <v>1459</v>
      </c>
      <c r="D56" s="1341">
        <v>0</v>
      </c>
      <c r="E56" s="771" t="s">
        <v>1534</v>
      </c>
      <c r="F56" s="510" t="s">
        <v>1460</v>
      </c>
      <c r="G56" s="570" t="s">
        <v>1461</v>
      </c>
    </row>
    <row r="57" spans="1:7" ht="29.4" customHeight="1">
      <c r="A57" s="505">
        <f t="shared" si="0"/>
        <v>47</v>
      </c>
      <c r="B57" s="749" t="s">
        <v>1159</v>
      </c>
      <c r="C57" s="510" t="s">
        <v>1462</v>
      </c>
      <c r="D57" s="1341">
        <v>0</v>
      </c>
      <c r="E57" s="771" t="s">
        <v>1585</v>
      </c>
      <c r="F57" s="510" t="s">
        <v>1463</v>
      </c>
      <c r="G57" s="570" t="s">
        <v>1464</v>
      </c>
    </row>
    <row r="58" spans="1:7" ht="158.4">
      <c r="A58" s="505">
        <f t="shared" si="0"/>
        <v>48</v>
      </c>
      <c r="B58" s="749" t="s">
        <v>1159</v>
      </c>
      <c r="C58" s="510" t="s">
        <v>894</v>
      </c>
      <c r="D58" s="1341">
        <v>0</v>
      </c>
      <c r="E58" s="771" t="s">
        <v>1534</v>
      </c>
      <c r="F58" s="510" t="s">
        <v>403</v>
      </c>
      <c r="G58" s="570" t="s">
        <v>1377</v>
      </c>
    </row>
    <row r="59" spans="1:7" ht="26.4">
      <c r="A59" s="505">
        <f t="shared" si="0"/>
        <v>49</v>
      </c>
      <c r="B59" s="749" t="s">
        <v>1159</v>
      </c>
      <c r="C59" s="510" t="s">
        <v>895</v>
      </c>
      <c r="D59" s="1341">
        <v>0</v>
      </c>
      <c r="E59" s="771" t="s">
        <v>1534</v>
      </c>
      <c r="F59" s="510" t="s">
        <v>403</v>
      </c>
      <c r="G59" s="570" t="s">
        <v>73</v>
      </c>
    </row>
    <row r="60" spans="1:7" ht="64.5" customHeight="1">
      <c r="A60" s="505">
        <f t="shared" si="0"/>
        <v>50</v>
      </c>
      <c r="B60" s="749" t="s">
        <v>1159</v>
      </c>
      <c r="C60" s="570" t="s">
        <v>896</v>
      </c>
      <c r="D60" s="1399">
        <v>0</v>
      </c>
      <c r="E60" s="771" t="s">
        <v>1534</v>
      </c>
      <c r="F60" s="570" t="s">
        <v>404</v>
      </c>
      <c r="G60" s="570" t="s">
        <v>1378</v>
      </c>
    </row>
    <row r="61" spans="1:7" ht="29.4" customHeight="1">
      <c r="A61" s="505">
        <f t="shared" si="0"/>
        <v>51</v>
      </c>
      <c r="B61" s="749" t="s">
        <v>1159</v>
      </c>
      <c r="C61" s="510" t="s">
        <v>493</v>
      </c>
      <c r="D61" s="1341">
        <v>0</v>
      </c>
      <c r="E61" s="771" t="s">
        <v>1534</v>
      </c>
      <c r="F61" s="510" t="s">
        <v>403</v>
      </c>
      <c r="G61" s="570" t="s">
        <v>228</v>
      </c>
    </row>
    <row r="62" spans="1:7" ht="16.2" customHeight="1">
      <c r="A62" s="505">
        <f t="shared" si="0"/>
        <v>52</v>
      </c>
      <c r="B62" s="749" t="s">
        <v>1159</v>
      </c>
      <c r="C62" s="570" t="s">
        <v>229</v>
      </c>
      <c r="D62" s="1341">
        <v>0</v>
      </c>
      <c r="E62" s="771" t="s">
        <v>1585</v>
      </c>
      <c r="F62" s="570" t="s">
        <v>230</v>
      </c>
      <c r="G62" s="570" t="s">
        <v>231</v>
      </c>
    </row>
    <row r="63" spans="1:7" ht="66">
      <c r="A63" s="505">
        <f t="shared" si="0"/>
        <v>53</v>
      </c>
      <c r="B63" s="749" t="s">
        <v>1159</v>
      </c>
      <c r="C63" s="889" t="s">
        <v>801</v>
      </c>
      <c r="D63" s="1341">
        <v>0</v>
      </c>
      <c r="E63" s="771" t="s">
        <v>1534</v>
      </c>
      <c r="F63" s="570" t="s">
        <v>107</v>
      </c>
      <c r="G63" s="570" t="s">
        <v>890</v>
      </c>
    </row>
    <row r="64" spans="1:7" ht="42.6" customHeight="1">
      <c r="A64" s="505">
        <f t="shared" si="0"/>
        <v>54</v>
      </c>
      <c r="B64" s="749" t="s">
        <v>1159</v>
      </c>
      <c r="C64" s="889" t="s">
        <v>802</v>
      </c>
      <c r="D64" s="1341">
        <v>0</v>
      </c>
      <c r="E64" s="771" t="s">
        <v>1534</v>
      </c>
      <c r="F64" s="570" t="s">
        <v>108</v>
      </c>
      <c r="G64" s="570" t="s">
        <v>796</v>
      </c>
    </row>
    <row r="65" spans="1:7" ht="39.6">
      <c r="A65" s="505">
        <f t="shared" si="0"/>
        <v>55</v>
      </c>
      <c r="B65" s="749" t="s">
        <v>1159</v>
      </c>
      <c r="C65" s="888" t="s">
        <v>803</v>
      </c>
      <c r="D65" s="1341">
        <v>0</v>
      </c>
      <c r="E65" s="771" t="s">
        <v>1534</v>
      </c>
      <c r="F65" s="570" t="s">
        <v>108</v>
      </c>
      <c r="G65" s="570" t="s">
        <v>161</v>
      </c>
    </row>
    <row r="66" spans="1:7" ht="105.6">
      <c r="A66" s="505">
        <f t="shared" si="0"/>
        <v>56</v>
      </c>
      <c r="B66" s="749" t="s">
        <v>1159</v>
      </c>
      <c r="C66" s="512" t="s">
        <v>805</v>
      </c>
      <c r="D66" s="1341">
        <v>0</v>
      </c>
      <c r="E66" s="771" t="s">
        <v>1585</v>
      </c>
      <c r="F66" s="570" t="s">
        <v>892</v>
      </c>
      <c r="G66" s="570" t="s">
        <v>13</v>
      </c>
    </row>
    <row r="67" spans="1:7" ht="44.4" customHeight="1">
      <c r="A67" s="505">
        <f t="shared" si="0"/>
        <v>57</v>
      </c>
      <c r="B67" s="749" t="s">
        <v>1159</v>
      </c>
      <c r="C67" s="570" t="s">
        <v>232</v>
      </c>
      <c r="D67" s="1399">
        <v>0</v>
      </c>
      <c r="E67" s="771" t="s">
        <v>1585</v>
      </c>
      <c r="F67" s="570" t="s">
        <v>233</v>
      </c>
      <c r="G67" s="570" t="s">
        <v>234</v>
      </c>
    </row>
    <row r="68" spans="1:7" ht="52.8">
      <c r="A68" s="505">
        <f t="shared" si="0"/>
        <v>58</v>
      </c>
      <c r="B68" s="749" t="s">
        <v>1159</v>
      </c>
      <c r="C68" s="570" t="s">
        <v>235</v>
      </c>
      <c r="D68" s="1341">
        <v>0</v>
      </c>
      <c r="E68" s="771" t="s">
        <v>1585</v>
      </c>
      <c r="F68" s="570" t="s">
        <v>236</v>
      </c>
      <c r="G68" s="570" t="s">
        <v>237</v>
      </c>
    </row>
    <row r="69" spans="1:7" ht="153.6" customHeight="1">
      <c r="A69" s="505">
        <f t="shared" si="0"/>
        <v>59</v>
      </c>
      <c r="B69" s="749" t="s">
        <v>1159</v>
      </c>
      <c r="C69" s="888" t="s">
        <v>806</v>
      </c>
      <c r="D69" s="1341">
        <v>0</v>
      </c>
      <c r="E69" s="771" t="s">
        <v>1585</v>
      </c>
      <c r="F69" s="510" t="s">
        <v>893</v>
      </c>
      <c r="G69" s="570" t="s">
        <v>381</v>
      </c>
    </row>
    <row r="70" spans="1:7" ht="82.2" customHeight="1">
      <c r="A70" s="505">
        <f t="shared" si="0"/>
        <v>60</v>
      </c>
      <c r="B70" s="749" t="s">
        <v>1159</v>
      </c>
      <c r="C70" s="510" t="s">
        <v>238</v>
      </c>
      <c r="D70" s="1341">
        <v>0</v>
      </c>
      <c r="E70" s="771" t="s">
        <v>1585</v>
      </c>
      <c r="F70" s="570" t="s">
        <v>239</v>
      </c>
      <c r="G70" s="570" t="s">
        <v>290</v>
      </c>
    </row>
    <row r="71" spans="1:7" ht="92.4">
      <c r="A71" s="505">
        <f t="shared" si="0"/>
        <v>61</v>
      </c>
      <c r="B71" s="749" t="s">
        <v>1159</v>
      </c>
      <c r="C71" s="570" t="s">
        <v>804</v>
      </c>
      <c r="D71" s="1341">
        <v>0</v>
      </c>
      <c r="E71" s="771" t="s">
        <v>1534</v>
      </c>
      <c r="F71" s="510" t="s">
        <v>891</v>
      </c>
      <c r="G71" s="570" t="s">
        <v>264</v>
      </c>
    </row>
    <row r="72" spans="1:7" ht="108" customHeight="1">
      <c r="A72" s="505">
        <f t="shared" si="0"/>
        <v>62</v>
      </c>
      <c r="B72" s="749" t="s">
        <v>1159</v>
      </c>
      <c r="C72" s="510" t="s">
        <v>807</v>
      </c>
      <c r="D72" s="1341">
        <v>0</v>
      </c>
      <c r="E72" s="771" t="s">
        <v>1585</v>
      </c>
      <c r="F72" s="510" t="s">
        <v>852</v>
      </c>
      <c r="G72" s="570" t="s">
        <v>1155</v>
      </c>
    </row>
    <row r="73" spans="1:7" ht="92.4">
      <c r="A73" s="505">
        <f t="shared" si="0"/>
        <v>63</v>
      </c>
      <c r="B73" s="749" t="s">
        <v>1159</v>
      </c>
      <c r="C73" s="570" t="s">
        <v>291</v>
      </c>
      <c r="D73" s="1341">
        <v>0</v>
      </c>
      <c r="E73" s="771" t="s">
        <v>1585</v>
      </c>
      <c r="F73" s="510" t="s">
        <v>292</v>
      </c>
      <c r="G73" s="570" t="s">
        <v>145</v>
      </c>
    </row>
    <row r="74" spans="1:7" ht="79.2">
      <c r="A74" s="505">
        <f t="shared" si="0"/>
        <v>64</v>
      </c>
      <c r="B74" s="749" t="s">
        <v>1159</v>
      </c>
      <c r="C74" s="512" t="s">
        <v>808</v>
      </c>
      <c r="D74" s="1341">
        <v>0</v>
      </c>
      <c r="E74" s="771" t="s">
        <v>1585</v>
      </c>
      <c r="F74" s="570" t="s">
        <v>734</v>
      </c>
      <c r="G74" s="570" t="s">
        <v>850</v>
      </c>
    </row>
    <row r="75" spans="1:7" ht="26.4">
      <c r="A75" s="505">
        <f t="shared" si="0"/>
        <v>65</v>
      </c>
      <c r="B75" s="749" t="s">
        <v>1159</v>
      </c>
      <c r="C75" s="887" t="s">
        <v>146</v>
      </c>
      <c r="D75" s="1341">
        <v>0</v>
      </c>
      <c r="E75" s="771" t="s">
        <v>1585</v>
      </c>
      <c r="F75" s="510" t="s">
        <v>147</v>
      </c>
      <c r="G75" s="570" t="s">
        <v>148</v>
      </c>
    </row>
    <row r="76" spans="1:7" ht="66.599999999999994" customHeight="1">
      <c r="A76" s="505">
        <f t="shared" si="0"/>
        <v>66</v>
      </c>
      <c r="B76" s="749" t="s">
        <v>1159</v>
      </c>
      <c r="C76" s="512" t="s">
        <v>149</v>
      </c>
      <c r="D76" s="1341">
        <v>0</v>
      </c>
      <c r="E76" s="771" t="s">
        <v>1585</v>
      </c>
      <c r="F76" s="510" t="s">
        <v>150</v>
      </c>
      <c r="G76" s="570" t="s">
        <v>985</v>
      </c>
    </row>
    <row r="77" spans="1:7" ht="118.8">
      <c r="A77" s="505">
        <f t="shared" si="0"/>
        <v>67</v>
      </c>
      <c r="B77" s="749" t="s">
        <v>1159</v>
      </c>
      <c r="C77" s="512" t="s">
        <v>986</v>
      </c>
      <c r="D77" s="1341">
        <v>0</v>
      </c>
      <c r="E77" s="771" t="s">
        <v>1585</v>
      </c>
      <c r="F77" s="570" t="s">
        <v>987</v>
      </c>
      <c r="G77" s="570" t="s">
        <v>988</v>
      </c>
    </row>
    <row r="78" spans="1:7" ht="26.4">
      <c r="A78" s="505">
        <f t="shared" ref="A78:A124" si="1">A77+1</f>
        <v>68</v>
      </c>
      <c r="B78" s="749" t="s">
        <v>1159</v>
      </c>
      <c r="C78" s="512" t="s">
        <v>989</v>
      </c>
      <c r="D78" s="1341">
        <v>0</v>
      </c>
      <c r="E78" s="771" t="s">
        <v>1585</v>
      </c>
      <c r="F78" s="570" t="s">
        <v>990</v>
      </c>
      <c r="G78" s="570" t="s">
        <v>410</v>
      </c>
    </row>
    <row r="79" spans="1:7" ht="26.4">
      <c r="A79" s="505">
        <f t="shared" si="1"/>
        <v>69</v>
      </c>
      <c r="B79" s="749" t="s">
        <v>1159</v>
      </c>
      <c r="C79" s="512" t="s">
        <v>991</v>
      </c>
      <c r="D79" s="1341">
        <v>0</v>
      </c>
      <c r="E79" s="771" t="s">
        <v>1585</v>
      </c>
      <c r="F79" s="570" t="s">
        <v>992</v>
      </c>
      <c r="G79" s="570" t="s">
        <v>993</v>
      </c>
    </row>
    <row r="80" spans="1:7" ht="39.6">
      <c r="A80" s="505">
        <f t="shared" si="1"/>
        <v>70</v>
      </c>
      <c r="B80" s="749" t="s">
        <v>1159</v>
      </c>
      <c r="C80" s="512" t="s">
        <v>994</v>
      </c>
      <c r="D80" s="1341">
        <v>0</v>
      </c>
      <c r="E80" s="771" t="s">
        <v>1585</v>
      </c>
      <c r="F80" s="570" t="s">
        <v>109</v>
      </c>
      <c r="G80" s="570" t="s">
        <v>151</v>
      </c>
    </row>
    <row r="81" spans="1:7" ht="105.6">
      <c r="A81" s="505">
        <f t="shared" si="1"/>
        <v>71</v>
      </c>
      <c r="B81" s="749" t="s">
        <v>1159</v>
      </c>
      <c r="C81" s="512" t="s">
        <v>152</v>
      </c>
      <c r="D81" s="1341">
        <v>0</v>
      </c>
      <c r="E81" s="771" t="s">
        <v>1534</v>
      </c>
      <c r="F81" s="570" t="s">
        <v>153</v>
      </c>
      <c r="G81" s="570" t="s">
        <v>154</v>
      </c>
    </row>
    <row r="82" spans="1:7" ht="26.4">
      <c r="A82" s="505">
        <f t="shared" si="1"/>
        <v>72</v>
      </c>
      <c r="B82" s="749" t="s">
        <v>1159</v>
      </c>
      <c r="C82" s="512" t="s">
        <v>920</v>
      </c>
      <c r="D82" s="1341">
        <v>0</v>
      </c>
      <c r="E82" s="771" t="s">
        <v>1585</v>
      </c>
      <c r="F82" s="570" t="s">
        <v>921</v>
      </c>
      <c r="G82" s="570" t="s">
        <v>922</v>
      </c>
    </row>
    <row r="83" spans="1:7" ht="26.4">
      <c r="A83" s="505">
        <f t="shared" si="1"/>
        <v>73</v>
      </c>
      <c r="B83" s="749" t="s">
        <v>1159</v>
      </c>
      <c r="C83" s="512" t="s">
        <v>923</v>
      </c>
      <c r="D83" s="1341">
        <v>0</v>
      </c>
      <c r="E83" s="771" t="s">
        <v>1585</v>
      </c>
      <c r="F83" s="570" t="s">
        <v>921</v>
      </c>
      <c r="G83" s="570" t="s">
        <v>1005</v>
      </c>
    </row>
    <row r="84" spans="1:7" ht="26.4">
      <c r="A84" s="505">
        <f t="shared" si="1"/>
        <v>74</v>
      </c>
      <c r="B84" s="749" t="s">
        <v>1159</v>
      </c>
      <c r="C84" s="570" t="s">
        <v>1006</v>
      </c>
      <c r="D84" s="1341">
        <v>0</v>
      </c>
      <c r="E84" s="771" t="s">
        <v>1534</v>
      </c>
      <c r="F84" s="570" t="s">
        <v>1007</v>
      </c>
      <c r="G84" s="570" t="s">
        <v>1379</v>
      </c>
    </row>
    <row r="85" spans="1:7" ht="13.95" customHeight="1">
      <c r="A85" s="505">
        <f t="shared" si="1"/>
        <v>75</v>
      </c>
      <c r="B85" s="749" t="s">
        <v>1159</v>
      </c>
      <c r="C85" s="570" t="s">
        <v>1529</v>
      </c>
      <c r="D85" s="1341">
        <v>0</v>
      </c>
      <c r="E85" s="771" t="s">
        <v>1585</v>
      </c>
      <c r="F85" s="510" t="s">
        <v>465</v>
      </c>
      <c r="G85" s="570" t="s">
        <v>466</v>
      </c>
    </row>
    <row r="86" spans="1:7" ht="79.2">
      <c r="A86" s="505">
        <f t="shared" si="1"/>
        <v>76</v>
      </c>
      <c r="B86" s="749" t="s">
        <v>1159</v>
      </c>
      <c r="C86" s="570" t="s">
        <v>1530</v>
      </c>
      <c r="D86" s="1341">
        <v>0</v>
      </c>
      <c r="E86" s="771" t="s">
        <v>1585</v>
      </c>
      <c r="F86" s="510" t="s">
        <v>467</v>
      </c>
      <c r="G86" s="570" t="s">
        <v>1380</v>
      </c>
    </row>
    <row r="87" spans="1:7" ht="26.4">
      <c r="A87" s="505">
        <f t="shared" si="1"/>
        <v>77</v>
      </c>
      <c r="B87" s="749" t="s">
        <v>1159</v>
      </c>
      <c r="C87" s="890" t="s">
        <v>265</v>
      </c>
      <c r="D87" s="1341">
        <v>0</v>
      </c>
      <c r="E87" s="771" t="s">
        <v>1585</v>
      </c>
      <c r="F87" s="570" t="s">
        <v>266</v>
      </c>
      <c r="G87" s="570" t="s">
        <v>267</v>
      </c>
    </row>
    <row r="88" spans="1:7" ht="52.8">
      <c r="A88" s="505">
        <f t="shared" si="1"/>
        <v>78</v>
      </c>
      <c r="B88" s="749" t="s">
        <v>1159</v>
      </c>
      <c r="C88" s="512" t="s">
        <v>268</v>
      </c>
      <c r="D88" s="1341">
        <v>0</v>
      </c>
      <c r="E88" s="771" t="s">
        <v>1585</v>
      </c>
      <c r="F88" s="510" t="s">
        <v>269</v>
      </c>
      <c r="G88" s="570" t="s">
        <v>270</v>
      </c>
    </row>
    <row r="89" spans="1:7" ht="52.8">
      <c r="A89" s="505">
        <f t="shared" si="1"/>
        <v>79</v>
      </c>
      <c r="B89" s="749" t="s">
        <v>1159</v>
      </c>
      <c r="C89" s="890" t="s">
        <v>1531</v>
      </c>
      <c r="D89" s="1341">
        <v>0</v>
      </c>
      <c r="E89" s="771" t="s">
        <v>1534</v>
      </c>
      <c r="F89" s="510" t="s">
        <v>365</v>
      </c>
      <c r="G89" s="570" t="s">
        <v>366</v>
      </c>
    </row>
    <row r="90" spans="1:7">
      <c r="A90" s="505">
        <f t="shared" si="1"/>
        <v>80</v>
      </c>
      <c r="B90" s="749" t="s">
        <v>1159</v>
      </c>
      <c r="C90" s="570" t="s">
        <v>367</v>
      </c>
      <c r="D90" s="1341">
        <v>0</v>
      </c>
      <c r="E90" s="771" t="s">
        <v>1585</v>
      </c>
      <c r="F90" s="510" t="s">
        <v>368</v>
      </c>
      <c r="G90" s="570" t="s">
        <v>369</v>
      </c>
    </row>
    <row r="91" spans="1:7">
      <c r="A91" s="505">
        <f t="shared" si="1"/>
        <v>81</v>
      </c>
      <c r="B91" s="749" t="s">
        <v>1159</v>
      </c>
      <c r="C91" s="512" t="s">
        <v>370</v>
      </c>
      <c r="D91" s="1341">
        <v>0</v>
      </c>
      <c r="E91" s="771" t="s">
        <v>1585</v>
      </c>
      <c r="F91" s="510" t="s">
        <v>371</v>
      </c>
      <c r="G91" s="570" t="s">
        <v>372</v>
      </c>
    </row>
    <row r="92" spans="1:7" ht="26.4">
      <c r="A92" s="505">
        <f t="shared" si="1"/>
        <v>82</v>
      </c>
      <c r="B92" s="749" t="s">
        <v>1159</v>
      </c>
      <c r="C92" s="512" t="s">
        <v>373</v>
      </c>
      <c r="D92" s="1341">
        <v>0</v>
      </c>
      <c r="E92" s="771" t="s">
        <v>1585</v>
      </c>
      <c r="F92" s="510" t="s">
        <v>374</v>
      </c>
      <c r="G92" s="570" t="s">
        <v>375</v>
      </c>
    </row>
    <row r="93" spans="1:7" ht="52.8">
      <c r="A93" s="505">
        <f t="shared" si="1"/>
        <v>83</v>
      </c>
      <c r="B93" s="749" t="s">
        <v>1159</v>
      </c>
      <c r="C93" s="512" t="s">
        <v>376</v>
      </c>
      <c r="D93" s="1341">
        <v>0</v>
      </c>
      <c r="E93" s="771" t="s">
        <v>1585</v>
      </c>
      <c r="F93" s="510" t="s">
        <v>377</v>
      </c>
      <c r="G93" s="570" t="s">
        <v>26</v>
      </c>
    </row>
    <row r="94" spans="1:7" ht="82.2" customHeight="1">
      <c r="A94" s="505">
        <f t="shared" si="1"/>
        <v>84</v>
      </c>
      <c r="B94" s="749" t="s">
        <v>1159</v>
      </c>
      <c r="C94" s="512" t="s">
        <v>27</v>
      </c>
      <c r="D94" s="1341">
        <v>0</v>
      </c>
      <c r="E94" s="771" t="s">
        <v>1585</v>
      </c>
      <c r="F94" s="510" t="s">
        <v>28</v>
      </c>
      <c r="G94" s="570" t="s">
        <v>924</v>
      </c>
    </row>
    <row r="95" spans="1:7" ht="118.8">
      <c r="A95" s="505">
        <f t="shared" si="1"/>
        <v>85</v>
      </c>
      <c r="B95" s="749" t="s">
        <v>1159</v>
      </c>
      <c r="C95" s="512" t="s">
        <v>925</v>
      </c>
      <c r="D95" s="1341">
        <v>0</v>
      </c>
      <c r="E95" s="771" t="s">
        <v>1534</v>
      </c>
      <c r="F95" s="510" t="s">
        <v>926</v>
      </c>
      <c r="G95" s="570" t="s">
        <v>1381</v>
      </c>
    </row>
    <row r="96" spans="1:7" ht="92.4">
      <c r="A96" s="505">
        <f t="shared" si="1"/>
        <v>86</v>
      </c>
      <c r="B96" s="749" t="s">
        <v>1159</v>
      </c>
      <c r="C96" s="512" t="s">
        <v>383</v>
      </c>
      <c r="D96" s="1341">
        <v>0</v>
      </c>
      <c r="E96" s="771" t="s">
        <v>1585</v>
      </c>
      <c r="F96" s="510" t="s">
        <v>384</v>
      </c>
      <c r="G96" s="570" t="s">
        <v>1211</v>
      </c>
    </row>
    <row r="97" spans="1:7" ht="30.6" customHeight="1">
      <c r="A97" s="505">
        <f t="shared" si="1"/>
        <v>87</v>
      </c>
      <c r="B97" s="749" t="s">
        <v>1159</v>
      </c>
      <c r="C97" s="512" t="s">
        <v>1212</v>
      </c>
      <c r="D97" s="1341">
        <v>0</v>
      </c>
      <c r="E97" s="771" t="s">
        <v>1585</v>
      </c>
      <c r="F97" s="510" t="s">
        <v>1213</v>
      </c>
      <c r="G97" s="570" t="s">
        <v>1214</v>
      </c>
    </row>
    <row r="98" spans="1:7" ht="39.6">
      <c r="A98" s="505">
        <f t="shared" si="1"/>
        <v>88</v>
      </c>
      <c r="B98" s="749" t="s">
        <v>1159</v>
      </c>
      <c r="C98" s="512" t="s">
        <v>1215</v>
      </c>
      <c r="D98" s="1341">
        <v>0</v>
      </c>
      <c r="E98" s="771" t="s">
        <v>1585</v>
      </c>
      <c r="F98" s="510" t="s">
        <v>1216</v>
      </c>
      <c r="G98" s="570" t="s">
        <v>1217</v>
      </c>
    </row>
    <row r="99" spans="1:7" ht="66">
      <c r="A99" s="505">
        <f t="shared" si="1"/>
        <v>89</v>
      </c>
      <c r="B99" s="749" t="s">
        <v>1159</v>
      </c>
      <c r="C99" s="512" t="s">
        <v>1218</v>
      </c>
      <c r="D99" s="1341">
        <v>0</v>
      </c>
      <c r="E99" s="771" t="s">
        <v>1534</v>
      </c>
      <c r="F99" s="510" t="s">
        <v>1219</v>
      </c>
      <c r="G99" s="570" t="s">
        <v>1220</v>
      </c>
    </row>
    <row r="100" spans="1:7" ht="52.8">
      <c r="A100" s="505">
        <f t="shared" si="1"/>
        <v>90</v>
      </c>
      <c r="B100" s="749" t="s">
        <v>1159</v>
      </c>
      <c r="C100" s="890" t="s">
        <v>1221</v>
      </c>
      <c r="D100" s="1341">
        <v>0</v>
      </c>
      <c r="E100" s="771" t="s">
        <v>1534</v>
      </c>
      <c r="F100" s="510" t="s">
        <v>1222</v>
      </c>
      <c r="G100" s="570" t="s">
        <v>60</v>
      </c>
    </row>
    <row r="101" spans="1:7" ht="39.6">
      <c r="A101" s="505">
        <f t="shared" si="1"/>
        <v>91</v>
      </c>
      <c r="B101" s="749" t="s">
        <v>1159</v>
      </c>
      <c r="C101" s="570" t="s">
        <v>1532</v>
      </c>
      <c r="D101" s="1341">
        <v>0</v>
      </c>
      <c r="E101" s="771" t="s">
        <v>1534</v>
      </c>
      <c r="F101" s="510" t="s">
        <v>1222</v>
      </c>
      <c r="G101" s="570" t="s">
        <v>61</v>
      </c>
    </row>
    <row r="102" spans="1:7" ht="123" customHeight="1">
      <c r="A102" s="505">
        <f t="shared" si="1"/>
        <v>92</v>
      </c>
      <c r="B102" s="749" t="s">
        <v>1159</v>
      </c>
      <c r="C102" s="570" t="s">
        <v>62</v>
      </c>
      <c r="D102" s="1341">
        <v>0</v>
      </c>
      <c r="E102" s="771" t="s">
        <v>1534</v>
      </c>
      <c r="F102" s="510" t="s">
        <v>1219</v>
      </c>
      <c r="G102" s="570" t="s">
        <v>63</v>
      </c>
    </row>
    <row r="103" spans="1:7" ht="26.4">
      <c r="A103" s="505">
        <f t="shared" si="1"/>
        <v>93</v>
      </c>
      <c r="B103" s="749" t="s">
        <v>1159</v>
      </c>
      <c r="C103" s="512" t="s">
        <v>64</v>
      </c>
      <c r="D103" s="1341">
        <v>0</v>
      </c>
      <c r="E103" s="771" t="s">
        <v>1585</v>
      </c>
      <c r="F103" s="510" t="s">
        <v>65</v>
      </c>
      <c r="G103" s="570" t="s">
        <v>66</v>
      </c>
    </row>
    <row r="104" spans="1:7" ht="26.4">
      <c r="A104" s="505">
        <f t="shared" si="1"/>
        <v>94</v>
      </c>
      <c r="B104" s="749" t="s">
        <v>1159</v>
      </c>
      <c r="C104" s="512" t="s">
        <v>799</v>
      </c>
      <c r="D104" s="1341">
        <v>0</v>
      </c>
      <c r="E104" s="771" t="s">
        <v>1534</v>
      </c>
      <c r="F104" s="510" t="s">
        <v>800</v>
      </c>
      <c r="G104" s="570" t="s">
        <v>1466</v>
      </c>
    </row>
    <row r="105" spans="1:7" ht="79.2">
      <c r="A105" s="505">
        <f t="shared" si="1"/>
        <v>95</v>
      </c>
      <c r="B105" s="891">
        <v>1070003</v>
      </c>
      <c r="C105" s="888" t="s">
        <v>435</v>
      </c>
      <c r="D105" s="1596">
        <v>0</v>
      </c>
      <c r="E105" s="771" t="s">
        <v>1585</v>
      </c>
      <c r="F105" s="510" t="s">
        <v>766</v>
      </c>
      <c r="G105" s="570" t="s">
        <v>629</v>
      </c>
    </row>
    <row r="106" spans="1:7" ht="79.2">
      <c r="A106" s="505">
        <f t="shared" si="1"/>
        <v>96</v>
      </c>
      <c r="B106" s="891">
        <v>1070003</v>
      </c>
      <c r="C106" s="888" t="s">
        <v>436</v>
      </c>
      <c r="D106" s="1596">
        <v>0</v>
      </c>
      <c r="E106" s="771" t="s">
        <v>1585</v>
      </c>
      <c r="F106" s="510" t="s">
        <v>766</v>
      </c>
      <c r="G106" s="570" t="s">
        <v>630</v>
      </c>
    </row>
    <row r="107" spans="1:7">
      <c r="A107" s="505">
        <f t="shared" si="1"/>
        <v>97</v>
      </c>
      <c r="B107" s="891">
        <v>1070003</v>
      </c>
      <c r="C107" s="888" t="s">
        <v>437</v>
      </c>
      <c r="D107" s="1596">
        <v>0</v>
      </c>
      <c r="E107" s="771" t="s">
        <v>1585</v>
      </c>
      <c r="F107" s="510" t="s">
        <v>767</v>
      </c>
      <c r="G107" s="570" t="s">
        <v>768</v>
      </c>
    </row>
    <row r="108" spans="1:7" ht="26.4">
      <c r="A108" s="505">
        <f t="shared" si="1"/>
        <v>98</v>
      </c>
      <c r="B108" s="891">
        <v>1070003</v>
      </c>
      <c r="C108" s="888" t="s">
        <v>438</v>
      </c>
      <c r="D108" s="1596">
        <v>0</v>
      </c>
      <c r="E108" s="771" t="s">
        <v>1585</v>
      </c>
      <c r="F108" s="510" t="s">
        <v>769</v>
      </c>
      <c r="G108" s="570" t="s">
        <v>631</v>
      </c>
    </row>
    <row r="109" spans="1:7" ht="79.2">
      <c r="A109" s="505">
        <f t="shared" si="1"/>
        <v>99</v>
      </c>
      <c r="B109" s="891">
        <v>1070003</v>
      </c>
      <c r="C109" s="888" t="s">
        <v>439</v>
      </c>
      <c r="D109" s="1596">
        <v>0</v>
      </c>
      <c r="E109" s="771" t="s">
        <v>1585</v>
      </c>
      <c r="F109" s="570" t="s">
        <v>625</v>
      </c>
      <c r="G109" s="570" t="s">
        <v>626</v>
      </c>
    </row>
    <row r="110" spans="1:7" ht="52.8">
      <c r="A110" s="505">
        <f t="shared" si="1"/>
        <v>100</v>
      </c>
      <c r="B110" s="891">
        <v>1070003</v>
      </c>
      <c r="C110" s="888" t="s">
        <v>440</v>
      </c>
      <c r="D110" s="1596">
        <v>0</v>
      </c>
      <c r="E110" s="771" t="s">
        <v>1585</v>
      </c>
      <c r="F110" s="570" t="s">
        <v>627</v>
      </c>
      <c r="G110" s="570" t="s">
        <v>408</v>
      </c>
    </row>
    <row r="111" spans="1:7" ht="26.4">
      <c r="A111" s="505">
        <f t="shared" si="1"/>
        <v>101</v>
      </c>
      <c r="B111" s="891">
        <v>1070003</v>
      </c>
      <c r="C111" s="888" t="s">
        <v>441</v>
      </c>
      <c r="D111" s="1596">
        <v>0</v>
      </c>
      <c r="E111" s="771" t="s">
        <v>1585</v>
      </c>
      <c r="F111" s="510" t="s">
        <v>770</v>
      </c>
      <c r="G111" s="570" t="s">
        <v>1441</v>
      </c>
    </row>
    <row r="112" spans="1:7" ht="26.4">
      <c r="A112" s="505">
        <f t="shared" si="1"/>
        <v>102</v>
      </c>
      <c r="B112" s="891">
        <v>1070003</v>
      </c>
      <c r="C112" s="888" t="s">
        <v>442</v>
      </c>
      <c r="D112" s="1596">
        <v>0</v>
      </c>
      <c r="E112" s="771" t="s">
        <v>1585</v>
      </c>
      <c r="F112" s="510" t="s">
        <v>770</v>
      </c>
      <c r="G112" s="570" t="s">
        <v>774</v>
      </c>
    </row>
    <row r="113" spans="1:7" ht="26.4">
      <c r="A113" s="505">
        <f t="shared" si="1"/>
        <v>103</v>
      </c>
      <c r="B113" s="891">
        <v>1070003</v>
      </c>
      <c r="C113" s="888" t="s">
        <v>443</v>
      </c>
      <c r="D113" s="1596">
        <v>0</v>
      </c>
      <c r="E113" s="771" t="s">
        <v>1585</v>
      </c>
      <c r="F113" s="510" t="s">
        <v>771</v>
      </c>
      <c r="G113" s="570" t="s">
        <v>775</v>
      </c>
    </row>
    <row r="114" spans="1:7" ht="26.4">
      <c r="A114" s="505">
        <f t="shared" si="1"/>
        <v>104</v>
      </c>
      <c r="B114" s="891">
        <v>1070003</v>
      </c>
      <c r="C114" s="888" t="s">
        <v>444</v>
      </c>
      <c r="D114" s="1596">
        <v>0</v>
      </c>
      <c r="E114" s="771" t="s">
        <v>1585</v>
      </c>
      <c r="F114" s="510" t="s">
        <v>772</v>
      </c>
      <c r="G114" s="570" t="s">
        <v>773</v>
      </c>
    </row>
    <row r="115" spans="1:7" ht="26.4">
      <c r="A115" s="505">
        <f t="shared" si="1"/>
        <v>105</v>
      </c>
      <c r="B115" s="891">
        <v>1070003</v>
      </c>
      <c r="C115" s="888" t="s">
        <v>445</v>
      </c>
      <c r="D115" s="1596">
        <v>0</v>
      </c>
      <c r="E115" s="771" t="s">
        <v>1585</v>
      </c>
      <c r="F115" s="510" t="s">
        <v>776</v>
      </c>
      <c r="G115" s="570" t="s">
        <v>777</v>
      </c>
    </row>
    <row r="116" spans="1:7">
      <c r="A116" s="505">
        <f t="shared" si="1"/>
        <v>106</v>
      </c>
      <c r="B116" s="891">
        <v>1070003</v>
      </c>
      <c r="C116" s="888" t="s">
        <v>446</v>
      </c>
      <c r="D116" s="1596">
        <v>0</v>
      </c>
      <c r="E116" s="771" t="s">
        <v>1585</v>
      </c>
      <c r="F116" s="510" t="s">
        <v>778</v>
      </c>
      <c r="G116" s="570" t="s">
        <v>621</v>
      </c>
    </row>
    <row r="117" spans="1:7" ht="26.4">
      <c r="A117" s="505">
        <f t="shared" si="1"/>
        <v>107</v>
      </c>
      <c r="B117" s="891">
        <v>1070003</v>
      </c>
      <c r="C117" s="888" t="s">
        <v>447</v>
      </c>
      <c r="D117" s="1596">
        <v>0</v>
      </c>
      <c r="E117" s="771" t="s">
        <v>1585</v>
      </c>
      <c r="F117" s="510" t="s">
        <v>622</v>
      </c>
      <c r="G117" s="570" t="s">
        <v>624</v>
      </c>
    </row>
    <row r="118" spans="1:7" ht="26.4">
      <c r="A118" s="505">
        <f t="shared" si="1"/>
        <v>108</v>
      </c>
      <c r="B118" s="891">
        <v>1070003</v>
      </c>
      <c r="C118" s="888" t="s">
        <v>448</v>
      </c>
      <c r="D118" s="1596">
        <v>0</v>
      </c>
      <c r="E118" s="771" t="s">
        <v>1585</v>
      </c>
      <c r="F118" s="510" t="s">
        <v>622</v>
      </c>
      <c r="G118" s="570" t="s">
        <v>623</v>
      </c>
    </row>
    <row r="119" spans="1:7" ht="70.2" customHeight="1">
      <c r="A119" s="505">
        <f t="shared" si="1"/>
        <v>109</v>
      </c>
      <c r="B119" s="891">
        <v>1070002</v>
      </c>
      <c r="C119" s="888" t="s">
        <v>67</v>
      </c>
      <c r="D119" s="1596">
        <v>0</v>
      </c>
      <c r="E119" s="771" t="s">
        <v>1534</v>
      </c>
      <c r="F119" s="510" t="s">
        <v>188</v>
      </c>
      <c r="G119" s="570" t="s">
        <v>1001</v>
      </c>
    </row>
    <row r="120" spans="1:7" ht="52.8">
      <c r="A120" s="505">
        <f t="shared" si="1"/>
        <v>110</v>
      </c>
      <c r="B120" s="891">
        <v>1070002</v>
      </c>
      <c r="C120" s="888" t="s">
        <v>68</v>
      </c>
      <c r="D120" s="1596">
        <v>0</v>
      </c>
      <c r="E120" s="771" t="s">
        <v>1534</v>
      </c>
      <c r="F120" s="570" t="s">
        <v>1000</v>
      </c>
      <c r="G120" s="570" t="s">
        <v>999</v>
      </c>
    </row>
    <row r="121" spans="1:7" ht="66">
      <c r="A121" s="505">
        <f t="shared" si="1"/>
        <v>111</v>
      </c>
      <c r="B121" s="891">
        <v>1070002</v>
      </c>
      <c r="C121" s="888" t="s">
        <v>69</v>
      </c>
      <c r="D121" s="1596">
        <v>0</v>
      </c>
      <c r="E121" s="771" t="s">
        <v>1534</v>
      </c>
      <c r="F121" s="570" t="s">
        <v>156</v>
      </c>
      <c r="G121" s="570" t="s">
        <v>155</v>
      </c>
    </row>
    <row r="122" spans="1:7" ht="66">
      <c r="A122" s="505">
        <f t="shared" si="1"/>
        <v>112</v>
      </c>
      <c r="B122" s="891">
        <v>1070002</v>
      </c>
      <c r="C122" s="888" t="s">
        <v>1600</v>
      </c>
      <c r="D122" s="1596">
        <v>0</v>
      </c>
      <c r="E122" s="771" t="s">
        <v>1585</v>
      </c>
      <c r="F122" s="570" t="s">
        <v>1003</v>
      </c>
      <c r="G122" s="570" t="s">
        <v>1004</v>
      </c>
    </row>
    <row r="123" spans="1:7" ht="117" customHeight="1">
      <c r="A123" s="505">
        <f>A122+1</f>
        <v>113</v>
      </c>
      <c r="B123" s="891">
        <v>1070002</v>
      </c>
      <c r="C123" s="888" t="s">
        <v>70</v>
      </c>
      <c r="D123" s="1596">
        <v>0</v>
      </c>
      <c r="E123" s="771" t="s">
        <v>1585</v>
      </c>
      <c r="F123" s="510" t="s">
        <v>465</v>
      </c>
      <c r="G123" s="570" t="s">
        <v>1444</v>
      </c>
    </row>
    <row r="124" spans="1:7" ht="123.6" customHeight="1">
      <c r="A124" s="505">
        <f t="shared" si="1"/>
        <v>114</v>
      </c>
      <c r="B124" s="891">
        <v>1070002</v>
      </c>
      <c r="C124" s="888" t="s">
        <v>71</v>
      </c>
      <c r="D124" s="1596">
        <v>0</v>
      </c>
      <c r="E124" s="771" t="s">
        <v>1534</v>
      </c>
      <c r="F124" s="510" t="s">
        <v>552</v>
      </c>
      <c r="G124" s="570" t="s">
        <v>551</v>
      </c>
    </row>
    <row r="125" spans="1:7" ht="66">
      <c r="A125" s="505">
        <f t="shared" ref="A125:A188" si="2">A124+1</f>
        <v>115</v>
      </c>
      <c r="B125" s="891">
        <v>1070002</v>
      </c>
      <c r="C125" s="888" t="s">
        <v>275</v>
      </c>
      <c r="D125" s="1596">
        <v>0</v>
      </c>
      <c r="E125" s="771" t="s">
        <v>1534</v>
      </c>
      <c r="F125" s="510" t="s">
        <v>29</v>
      </c>
      <c r="G125" s="570" t="s">
        <v>1002</v>
      </c>
    </row>
    <row r="126" spans="1:7" ht="17.25" customHeight="1">
      <c r="A126" s="505">
        <f t="shared" si="2"/>
        <v>116</v>
      </c>
      <c r="B126" s="891" t="s">
        <v>1159</v>
      </c>
      <c r="C126" s="888" t="s">
        <v>1632</v>
      </c>
      <c r="D126" s="1596">
        <v>0</v>
      </c>
      <c r="E126" s="892" t="s">
        <v>1534</v>
      </c>
      <c r="F126" s="570" t="s">
        <v>1637</v>
      </c>
      <c r="G126" s="570" t="s">
        <v>1633</v>
      </c>
    </row>
    <row r="127" spans="1:7" ht="39.6">
      <c r="A127" s="505">
        <f t="shared" si="2"/>
        <v>117</v>
      </c>
      <c r="B127" s="891" t="s">
        <v>1159</v>
      </c>
      <c r="C127" s="888" t="s">
        <v>1634</v>
      </c>
      <c r="D127" s="1596">
        <v>0</v>
      </c>
      <c r="E127" s="892" t="s">
        <v>1534</v>
      </c>
      <c r="F127" s="510" t="s">
        <v>1636</v>
      </c>
      <c r="G127" s="570" t="s">
        <v>1635</v>
      </c>
    </row>
    <row r="128" spans="1:7">
      <c r="A128" s="893">
        <f t="shared" si="2"/>
        <v>118</v>
      </c>
      <c r="B128" s="893">
        <v>1070002</v>
      </c>
      <c r="C128" s="894" t="s">
        <v>1759</v>
      </c>
      <c r="D128" s="1596">
        <v>0</v>
      </c>
      <c r="E128" s="893" t="s">
        <v>1585</v>
      </c>
      <c r="F128" s="894" t="s">
        <v>1760</v>
      </c>
      <c r="G128" s="893" t="s">
        <v>1761</v>
      </c>
    </row>
    <row r="129" spans="1:7" ht="78.75" customHeight="1">
      <c r="A129" s="893">
        <f t="shared" si="2"/>
        <v>119</v>
      </c>
      <c r="B129" s="893">
        <v>1070002</v>
      </c>
      <c r="C129" s="894" t="s">
        <v>1762</v>
      </c>
      <c r="D129" s="1596">
        <v>0</v>
      </c>
      <c r="E129" s="893" t="s">
        <v>1534</v>
      </c>
      <c r="F129" s="894" t="s">
        <v>1763</v>
      </c>
      <c r="G129" s="895" t="s">
        <v>1767</v>
      </c>
    </row>
    <row r="130" spans="1:7" ht="52.8">
      <c r="A130" s="893">
        <f>A129+1</f>
        <v>120</v>
      </c>
      <c r="B130" s="893" t="s">
        <v>1159</v>
      </c>
      <c r="C130" s="888" t="s">
        <v>1742</v>
      </c>
      <c r="D130" s="1596">
        <v>0</v>
      </c>
      <c r="E130" s="892" t="s">
        <v>1585</v>
      </c>
      <c r="F130" s="510" t="s">
        <v>1748</v>
      </c>
      <c r="G130" s="570" t="s">
        <v>2377</v>
      </c>
    </row>
    <row r="131" spans="1:7" ht="52.8">
      <c r="A131" s="893">
        <f>A130+1</f>
        <v>121</v>
      </c>
      <c r="B131" s="893">
        <v>1070002</v>
      </c>
      <c r="C131" s="888" t="s">
        <v>1764</v>
      </c>
      <c r="D131" s="1596">
        <v>0</v>
      </c>
      <c r="E131" s="893" t="s">
        <v>1534</v>
      </c>
      <c r="F131" s="510" t="s">
        <v>1765</v>
      </c>
      <c r="G131" s="570" t="s">
        <v>1766</v>
      </c>
    </row>
    <row r="132" spans="1:7">
      <c r="A132" s="893">
        <f>A131+1</f>
        <v>122</v>
      </c>
      <c r="B132" s="893">
        <v>1070003</v>
      </c>
      <c r="C132" s="888" t="s">
        <v>1740</v>
      </c>
      <c r="D132" s="1596">
        <v>0</v>
      </c>
      <c r="E132" s="892" t="s">
        <v>1585</v>
      </c>
      <c r="F132" s="510" t="s">
        <v>1745</v>
      </c>
      <c r="G132" s="570" t="s">
        <v>1746</v>
      </c>
    </row>
    <row r="133" spans="1:7" ht="65.25" customHeight="1">
      <c r="A133" s="893">
        <f t="shared" si="2"/>
        <v>123</v>
      </c>
      <c r="B133" s="893">
        <v>1070002</v>
      </c>
      <c r="C133" s="888" t="s">
        <v>1750</v>
      </c>
      <c r="D133" s="1596">
        <v>0</v>
      </c>
      <c r="E133" s="892" t="s">
        <v>1534</v>
      </c>
      <c r="F133" s="510" t="s">
        <v>1751</v>
      </c>
      <c r="G133" s="570" t="s">
        <v>1758</v>
      </c>
    </row>
    <row r="134" spans="1:7" ht="92.4">
      <c r="A134" s="893">
        <f>A133+1</f>
        <v>124</v>
      </c>
      <c r="B134" s="893" t="s">
        <v>1159</v>
      </c>
      <c r="C134" s="888" t="s">
        <v>1741</v>
      </c>
      <c r="D134" s="1596">
        <v>0</v>
      </c>
      <c r="E134" s="892" t="s">
        <v>1534</v>
      </c>
      <c r="F134" s="510" t="s">
        <v>1747</v>
      </c>
      <c r="G134" s="570" t="s">
        <v>1755</v>
      </c>
    </row>
    <row r="135" spans="1:7" ht="67.5" customHeight="1">
      <c r="A135" s="893">
        <f t="shared" si="2"/>
        <v>125</v>
      </c>
      <c r="B135" s="893" t="s">
        <v>1159</v>
      </c>
      <c r="C135" s="888" t="s">
        <v>1743</v>
      </c>
      <c r="D135" s="1596">
        <v>0</v>
      </c>
      <c r="E135" s="892" t="s">
        <v>1534</v>
      </c>
      <c r="F135" s="510" t="s">
        <v>1749</v>
      </c>
      <c r="G135" s="570" t="s">
        <v>1756</v>
      </c>
    </row>
    <row r="136" spans="1:7" ht="79.2">
      <c r="A136" s="893">
        <f t="shared" si="2"/>
        <v>126</v>
      </c>
      <c r="B136" s="893" t="s">
        <v>1159</v>
      </c>
      <c r="C136" s="888" t="s">
        <v>1739</v>
      </c>
      <c r="D136" s="1596">
        <v>0</v>
      </c>
      <c r="E136" s="892" t="s">
        <v>1585</v>
      </c>
      <c r="F136" s="510" t="s">
        <v>1744</v>
      </c>
      <c r="G136" s="570" t="s">
        <v>1757</v>
      </c>
    </row>
    <row r="137" spans="1:7" ht="40.5" customHeight="1">
      <c r="A137" s="893">
        <f t="shared" si="2"/>
        <v>127</v>
      </c>
      <c r="B137" s="893" t="s">
        <v>1159</v>
      </c>
      <c r="C137" s="888" t="s">
        <v>1866</v>
      </c>
      <c r="D137" s="1596">
        <v>0</v>
      </c>
      <c r="E137" s="892" t="s">
        <v>1534</v>
      </c>
      <c r="F137" s="570" t="s">
        <v>1868</v>
      </c>
      <c r="G137" s="570" t="s">
        <v>1867</v>
      </c>
    </row>
    <row r="138" spans="1:7" ht="66">
      <c r="A138" s="893">
        <f t="shared" si="2"/>
        <v>128</v>
      </c>
      <c r="B138" s="893" t="s">
        <v>1159</v>
      </c>
      <c r="C138" s="888" t="s">
        <v>1871</v>
      </c>
      <c r="D138" s="1596">
        <v>0</v>
      </c>
      <c r="E138" s="892" t="s">
        <v>1534</v>
      </c>
      <c r="F138" s="570" t="s">
        <v>1872</v>
      </c>
      <c r="G138" s="570" t="s">
        <v>1874</v>
      </c>
    </row>
    <row r="139" spans="1:7" ht="66">
      <c r="A139" s="893">
        <f t="shared" si="2"/>
        <v>129</v>
      </c>
      <c r="B139" s="893" t="s">
        <v>1159</v>
      </c>
      <c r="C139" s="888" t="s">
        <v>1869</v>
      </c>
      <c r="D139" s="1596">
        <v>0</v>
      </c>
      <c r="E139" s="892" t="s">
        <v>1534</v>
      </c>
      <c r="F139" s="570" t="s">
        <v>1870</v>
      </c>
      <c r="G139" s="570" t="s">
        <v>1873</v>
      </c>
    </row>
    <row r="140" spans="1:7" ht="52.8">
      <c r="A140" s="893">
        <f t="shared" si="2"/>
        <v>130</v>
      </c>
      <c r="B140" s="893">
        <v>1000</v>
      </c>
      <c r="C140" s="888" t="s">
        <v>2351</v>
      </c>
      <c r="D140" s="1596">
        <v>0</v>
      </c>
      <c r="E140" s="892" t="s">
        <v>1585</v>
      </c>
      <c r="F140" s="570" t="s">
        <v>2352</v>
      </c>
      <c r="G140" s="570" t="s">
        <v>2353</v>
      </c>
    </row>
    <row r="141" spans="1:7">
      <c r="A141" s="893">
        <f t="shared" si="2"/>
        <v>131</v>
      </c>
      <c r="B141" s="893">
        <v>1000</v>
      </c>
      <c r="C141" s="888" t="s">
        <v>2354</v>
      </c>
      <c r="D141" s="1596">
        <v>0</v>
      </c>
      <c r="E141" s="892" t="s">
        <v>1534</v>
      </c>
      <c r="F141" s="570" t="s">
        <v>2355</v>
      </c>
      <c r="G141" s="570" t="s">
        <v>2356</v>
      </c>
    </row>
    <row r="142" spans="1:7" ht="26.4">
      <c r="A142" s="893">
        <f t="shared" si="2"/>
        <v>132</v>
      </c>
      <c r="B142" s="893">
        <v>1000</v>
      </c>
      <c r="C142" s="888" t="s">
        <v>2357</v>
      </c>
      <c r="D142" s="1596">
        <v>0</v>
      </c>
      <c r="E142" s="892" t="s">
        <v>1534</v>
      </c>
      <c r="F142" s="570" t="s">
        <v>2358</v>
      </c>
      <c r="G142" s="570" t="s">
        <v>2359</v>
      </c>
    </row>
    <row r="143" spans="1:7" ht="26.4">
      <c r="A143" s="893">
        <f t="shared" si="2"/>
        <v>133</v>
      </c>
      <c r="B143" s="893">
        <v>1000</v>
      </c>
      <c r="C143" s="888" t="s">
        <v>2360</v>
      </c>
      <c r="D143" s="1596">
        <v>0</v>
      </c>
      <c r="E143" s="892" t="s">
        <v>1585</v>
      </c>
      <c r="F143" s="570" t="s">
        <v>2361</v>
      </c>
      <c r="G143" s="570" t="s">
        <v>2362</v>
      </c>
    </row>
    <row r="144" spans="1:7">
      <c r="A144" s="893">
        <f t="shared" si="2"/>
        <v>134</v>
      </c>
      <c r="B144" s="893">
        <v>1000</v>
      </c>
      <c r="C144" s="888" t="s">
        <v>2363</v>
      </c>
      <c r="D144" s="1596">
        <v>0</v>
      </c>
      <c r="E144" s="892" t="s">
        <v>1585</v>
      </c>
      <c r="F144" s="570" t="s">
        <v>2364</v>
      </c>
      <c r="G144" s="570" t="s">
        <v>2365</v>
      </c>
    </row>
    <row r="145" spans="1:8" ht="78.75" customHeight="1">
      <c r="A145" s="757">
        <f t="shared" si="2"/>
        <v>135</v>
      </c>
      <c r="B145" s="757">
        <v>1000</v>
      </c>
      <c r="C145" s="1125" t="s">
        <v>2434</v>
      </c>
      <c r="D145" s="1597">
        <v>0</v>
      </c>
      <c r="E145" s="757" t="s">
        <v>1534</v>
      </c>
      <c r="F145" s="1131" t="s">
        <v>2467</v>
      </c>
      <c r="G145" s="1131" t="s">
        <v>2466</v>
      </c>
    </row>
    <row r="146" spans="1:8" ht="80.25" customHeight="1">
      <c r="A146" s="757">
        <f t="shared" si="2"/>
        <v>136</v>
      </c>
      <c r="B146" s="757">
        <v>1000</v>
      </c>
      <c r="C146" s="1125" t="s">
        <v>2435</v>
      </c>
      <c r="D146" s="1597">
        <v>0</v>
      </c>
      <c r="E146" s="757" t="s">
        <v>1534</v>
      </c>
      <c r="F146" s="1131" t="s">
        <v>2471</v>
      </c>
      <c r="G146" s="1131" t="s">
        <v>2470</v>
      </c>
    </row>
    <row r="147" spans="1:8" ht="54" customHeight="1">
      <c r="A147" s="757">
        <f t="shared" si="2"/>
        <v>137</v>
      </c>
      <c r="B147" s="757">
        <v>1000</v>
      </c>
      <c r="C147" s="1125" t="s">
        <v>2436</v>
      </c>
      <c r="D147" s="1597">
        <v>0</v>
      </c>
      <c r="E147" s="757" t="s">
        <v>1534</v>
      </c>
      <c r="F147" s="1131" t="s">
        <v>2472</v>
      </c>
      <c r="G147" s="1131" t="s">
        <v>2459</v>
      </c>
    </row>
    <row r="148" spans="1:8" ht="27" customHeight="1">
      <c r="A148" s="757">
        <f t="shared" si="2"/>
        <v>138</v>
      </c>
      <c r="B148" s="757">
        <v>1000</v>
      </c>
      <c r="C148" s="1125" t="s">
        <v>2437</v>
      </c>
      <c r="D148" s="1597">
        <v>0</v>
      </c>
      <c r="E148" s="757" t="s">
        <v>1585</v>
      </c>
      <c r="F148" s="1125" t="s">
        <v>2453</v>
      </c>
      <c r="G148" s="1131" t="s">
        <v>2443</v>
      </c>
    </row>
    <row r="149" spans="1:8" ht="79.2">
      <c r="A149" s="757">
        <f t="shared" si="2"/>
        <v>139</v>
      </c>
      <c r="B149" s="757">
        <v>1000</v>
      </c>
      <c r="C149" s="1125" t="s">
        <v>2438</v>
      </c>
      <c r="D149" s="1597">
        <v>0</v>
      </c>
      <c r="E149" s="757" t="s">
        <v>1534</v>
      </c>
      <c r="F149" s="1131" t="s">
        <v>2476</v>
      </c>
      <c r="G149" s="1131" t="s">
        <v>2477</v>
      </c>
    </row>
    <row r="150" spans="1:8" ht="39.6">
      <c r="A150" s="757">
        <f t="shared" si="2"/>
        <v>140</v>
      </c>
      <c r="B150" s="757">
        <v>1000</v>
      </c>
      <c r="C150" s="1125" t="s">
        <v>2439</v>
      </c>
      <c r="D150" s="1597">
        <v>0</v>
      </c>
      <c r="E150" s="757" t="s">
        <v>1585</v>
      </c>
      <c r="F150" s="1125" t="s">
        <v>2454</v>
      </c>
      <c r="G150" s="1131" t="s">
        <v>2475</v>
      </c>
    </row>
    <row r="151" spans="1:8" ht="54" customHeight="1">
      <c r="A151" s="757">
        <f t="shared" si="2"/>
        <v>141</v>
      </c>
      <c r="B151" s="757">
        <v>1000</v>
      </c>
      <c r="C151" s="1125" t="s">
        <v>2440</v>
      </c>
      <c r="D151" s="1597">
        <v>0</v>
      </c>
      <c r="E151" s="757" t="s">
        <v>1534</v>
      </c>
      <c r="F151" s="1125" t="s">
        <v>2473</v>
      </c>
      <c r="G151" s="1131" t="s">
        <v>2460</v>
      </c>
    </row>
    <row r="152" spans="1:8" ht="80.25" customHeight="1">
      <c r="A152" s="757">
        <f t="shared" si="2"/>
        <v>142</v>
      </c>
      <c r="B152" s="757">
        <v>1000</v>
      </c>
      <c r="C152" s="1125" t="s">
        <v>2441</v>
      </c>
      <c r="D152" s="1597">
        <v>0</v>
      </c>
      <c r="E152" s="757" t="s">
        <v>1534</v>
      </c>
      <c r="F152" s="1131" t="s">
        <v>2469</v>
      </c>
      <c r="G152" s="1131" t="s">
        <v>2468</v>
      </c>
    </row>
    <row r="153" spans="1:8" ht="95.25" customHeight="1">
      <c r="A153" s="757">
        <f t="shared" si="2"/>
        <v>143</v>
      </c>
      <c r="B153" s="757">
        <v>1000</v>
      </c>
      <c r="C153" s="1125" t="s">
        <v>2442</v>
      </c>
      <c r="D153" s="1597">
        <v>0</v>
      </c>
      <c r="E153" s="757" t="s">
        <v>1585</v>
      </c>
      <c r="F153" s="1125" t="s">
        <v>2455</v>
      </c>
      <c r="G153" s="1131" t="s">
        <v>2474</v>
      </c>
    </row>
    <row r="154" spans="1:8" ht="23.4" customHeight="1">
      <c r="A154" s="757">
        <f t="shared" si="2"/>
        <v>144</v>
      </c>
      <c r="B154" s="757">
        <v>1000</v>
      </c>
      <c r="C154" s="1125" t="s">
        <v>2528</v>
      </c>
      <c r="D154" s="1597">
        <v>0</v>
      </c>
      <c r="E154" s="757" t="s">
        <v>1585</v>
      </c>
      <c r="F154" s="1125" t="s">
        <v>2529</v>
      </c>
      <c r="G154" s="1131" t="s">
        <v>2530</v>
      </c>
    </row>
    <row r="155" spans="1:8" ht="45.6" customHeight="1">
      <c r="A155" s="757">
        <f t="shared" si="2"/>
        <v>145</v>
      </c>
      <c r="B155" s="757">
        <v>1000</v>
      </c>
      <c r="C155" s="1125" t="s">
        <v>2527</v>
      </c>
      <c r="D155" s="1597">
        <v>0</v>
      </c>
      <c r="E155" s="757" t="s">
        <v>1534</v>
      </c>
      <c r="F155" s="1125" t="s">
        <v>2531</v>
      </c>
      <c r="G155" s="1131" t="s">
        <v>2559</v>
      </c>
      <c r="H155" s="285"/>
    </row>
    <row r="156" spans="1:8" ht="45.6" customHeight="1">
      <c r="A156" s="757">
        <f t="shared" si="2"/>
        <v>146</v>
      </c>
      <c r="B156" s="757">
        <v>1000</v>
      </c>
      <c r="C156" s="1125" t="s">
        <v>2608</v>
      </c>
      <c r="D156" s="1597">
        <v>0</v>
      </c>
      <c r="E156" s="757" t="s">
        <v>1534</v>
      </c>
      <c r="F156" s="1125" t="s">
        <v>2610</v>
      </c>
      <c r="G156" s="1131" t="s">
        <v>2609</v>
      </c>
      <c r="H156" s="285"/>
    </row>
    <row r="157" spans="1:8" ht="30" customHeight="1">
      <c r="A157" s="757">
        <f>A156+1</f>
        <v>147</v>
      </c>
      <c r="B157" s="757">
        <v>1000</v>
      </c>
      <c r="C157" s="1125" t="s">
        <v>2540</v>
      </c>
      <c r="D157" s="1597">
        <v>0</v>
      </c>
      <c r="E157" s="757" t="s">
        <v>1585</v>
      </c>
      <c r="F157" s="1125" t="s">
        <v>2541</v>
      </c>
      <c r="G157" s="1131" t="s">
        <v>2542</v>
      </c>
    </row>
    <row r="158" spans="1:8" ht="85.95" customHeight="1">
      <c r="A158" s="757">
        <f t="shared" si="2"/>
        <v>148</v>
      </c>
      <c r="B158" s="757">
        <v>1000</v>
      </c>
      <c r="C158" s="1125" t="s">
        <v>2532</v>
      </c>
      <c r="D158" s="1597">
        <v>0</v>
      </c>
      <c r="E158" s="757" t="s">
        <v>1585</v>
      </c>
      <c r="F158" s="1125" t="s">
        <v>2533</v>
      </c>
      <c r="G158" s="1131" t="s">
        <v>2563</v>
      </c>
    </row>
    <row r="159" spans="1:8" ht="49.95" customHeight="1">
      <c r="A159" s="757">
        <f t="shared" si="2"/>
        <v>149</v>
      </c>
      <c r="B159" s="757">
        <v>1000</v>
      </c>
      <c r="C159" s="1125" t="s">
        <v>2534</v>
      </c>
      <c r="D159" s="1597">
        <v>0</v>
      </c>
      <c r="E159" s="757" t="s">
        <v>1585</v>
      </c>
      <c r="F159" s="1125" t="s">
        <v>2535</v>
      </c>
      <c r="G159" s="1131" t="s">
        <v>2564</v>
      </c>
      <c r="H159" s="285"/>
    </row>
    <row r="160" spans="1:8" ht="59.4" customHeight="1">
      <c r="A160" s="757">
        <f t="shared" si="2"/>
        <v>150</v>
      </c>
      <c r="B160" s="757">
        <v>1000</v>
      </c>
      <c r="C160" s="1125" t="s">
        <v>2536</v>
      </c>
      <c r="D160" s="1597">
        <v>0</v>
      </c>
      <c r="E160" s="757" t="s">
        <v>1585</v>
      </c>
      <c r="F160" s="1125" t="s">
        <v>2537</v>
      </c>
      <c r="G160" s="1131" t="s">
        <v>2562</v>
      </c>
      <c r="H160" s="285"/>
    </row>
    <row r="161" spans="1:9" ht="46.95" customHeight="1">
      <c r="A161" s="757">
        <f t="shared" si="2"/>
        <v>151</v>
      </c>
      <c r="B161" s="757">
        <v>1000</v>
      </c>
      <c r="C161" s="1125" t="s">
        <v>2538</v>
      </c>
      <c r="D161" s="1597">
        <v>0</v>
      </c>
      <c r="E161" s="757" t="s">
        <v>1585</v>
      </c>
      <c r="F161" s="1125" t="s">
        <v>2539</v>
      </c>
      <c r="G161" s="1131" t="s">
        <v>2567</v>
      </c>
    </row>
    <row r="162" spans="1:9" ht="105.6" customHeight="1">
      <c r="A162" s="757">
        <f t="shared" si="2"/>
        <v>152</v>
      </c>
      <c r="B162" s="757">
        <v>1000</v>
      </c>
      <c r="C162" s="1125" t="s">
        <v>2543</v>
      </c>
      <c r="D162" s="1597">
        <v>0</v>
      </c>
      <c r="E162" s="757" t="s">
        <v>1585</v>
      </c>
      <c r="F162" s="1125" t="s">
        <v>2544</v>
      </c>
      <c r="G162" s="1131" t="s">
        <v>2561</v>
      </c>
      <c r="H162" s="285"/>
    </row>
    <row r="163" spans="1:9" ht="60" customHeight="1">
      <c r="A163" s="757">
        <f t="shared" si="2"/>
        <v>153</v>
      </c>
      <c r="B163" s="757">
        <v>1000</v>
      </c>
      <c r="C163" s="1125" t="s">
        <v>2545</v>
      </c>
      <c r="D163" s="1597">
        <v>0</v>
      </c>
      <c r="E163" s="757" t="s">
        <v>1585</v>
      </c>
      <c r="F163" s="1125" t="s">
        <v>2546</v>
      </c>
      <c r="G163" s="1131" t="s">
        <v>2550</v>
      </c>
    </row>
    <row r="164" spans="1:9" ht="34.200000000000003" customHeight="1">
      <c r="A164" s="757">
        <f t="shared" si="2"/>
        <v>154</v>
      </c>
      <c r="B164" s="757">
        <v>1000</v>
      </c>
      <c r="C164" s="1125" t="s">
        <v>2547</v>
      </c>
      <c r="D164" s="1597">
        <v>0</v>
      </c>
      <c r="E164" s="757" t="s">
        <v>1534</v>
      </c>
      <c r="F164" s="1125" t="s">
        <v>2548</v>
      </c>
      <c r="G164" s="1131" t="s">
        <v>2560</v>
      </c>
    </row>
    <row r="165" spans="1:9" ht="47.4" customHeight="1">
      <c r="A165" s="757">
        <f t="shared" si="2"/>
        <v>155</v>
      </c>
      <c r="B165" s="757">
        <v>1000</v>
      </c>
      <c r="C165" s="1125" t="s">
        <v>2549</v>
      </c>
      <c r="D165" s="1597">
        <v>0</v>
      </c>
      <c r="E165" s="757" t="s">
        <v>1585</v>
      </c>
      <c r="F165" s="1125" t="s">
        <v>2566</v>
      </c>
      <c r="G165" s="1131" t="s">
        <v>2565</v>
      </c>
      <c r="H165" s="285"/>
    </row>
    <row r="166" spans="1:9" ht="80.25" customHeight="1">
      <c r="A166" s="757">
        <f t="shared" si="2"/>
        <v>156</v>
      </c>
      <c r="B166" s="757">
        <v>1000</v>
      </c>
      <c r="C166" s="1125" t="s">
        <v>2652</v>
      </c>
      <c r="D166" s="1597">
        <v>0</v>
      </c>
      <c r="E166" s="757" t="s">
        <v>1585</v>
      </c>
      <c r="F166" s="1125" t="s">
        <v>2656</v>
      </c>
      <c r="G166" s="1131" t="s">
        <v>2665</v>
      </c>
    </row>
    <row r="167" spans="1:9" ht="103.5" customHeight="1">
      <c r="A167" s="757">
        <f t="shared" si="2"/>
        <v>157</v>
      </c>
      <c r="B167" s="757">
        <v>1000</v>
      </c>
      <c r="C167" s="1125" t="s">
        <v>2653</v>
      </c>
      <c r="D167" s="1597">
        <v>0</v>
      </c>
      <c r="E167" s="757" t="s">
        <v>1585</v>
      </c>
      <c r="F167" s="1125" t="s">
        <v>2657</v>
      </c>
      <c r="G167" s="1131" t="s">
        <v>2667</v>
      </c>
    </row>
    <row r="168" spans="1:9" ht="41.25" customHeight="1">
      <c r="A168" s="757">
        <f t="shared" si="2"/>
        <v>158</v>
      </c>
      <c r="B168" s="757">
        <v>1000</v>
      </c>
      <c r="C168" s="1125" t="s">
        <v>2654</v>
      </c>
      <c r="D168" s="1597">
        <v>0</v>
      </c>
      <c r="E168" s="757" t="s">
        <v>1585</v>
      </c>
      <c r="F168" s="1125" t="s">
        <v>2664</v>
      </c>
      <c r="G168" s="1131" t="s">
        <v>2668</v>
      </c>
      <c r="I168" s="1131"/>
    </row>
    <row r="169" spans="1:9" ht="80.400000000000006" customHeight="1">
      <c r="A169" s="757">
        <f t="shared" si="2"/>
        <v>159</v>
      </c>
      <c r="B169" s="757">
        <v>1000</v>
      </c>
      <c r="C169" s="1125" t="s">
        <v>2655</v>
      </c>
      <c r="D169" s="1597">
        <v>0</v>
      </c>
      <c r="E169" s="757" t="s">
        <v>1585</v>
      </c>
      <c r="F169" s="1125" t="s">
        <v>2658</v>
      </c>
      <c r="G169" s="1131" t="s">
        <v>2666</v>
      </c>
      <c r="H169" s="285"/>
    </row>
    <row r="170" spans="1:9">
      <c r="A170" s="757">
        <f t="shared" si="2"/>
        <v>160</v>
      </c>
      <c r="B170" s="757">
        <v>1000</v>
      </c>
      <c r="C170" s="1125" t="s">
        <v>2706</v>
      </c>
      <c r="D170" s="1597">
        <v>0</v>
      </c>
      <c r="E170" s="757" t="s">
        <v>1585</v>
      </c>
      <c r="F170" s="1125" t="s">
        <v>2707</v>
      </c>
      <c r="G170" s="1131" t="s">
        <v>2707</v>
      </c>
    </row>
    <row r="171" spans="1:9" ht="42.6" customHeight="1">
      <c r="A171" s="757">
        <f t="shared" si="2"/>
        <v>161</v>
      </c>
      <c r="B171" s="757">
        <v>1000</v>
      </c>
      <c r="C171" s="1125" t="s">
        <v>2708</v>
      </c>
      <c r="D171" s="1597">
        <v>0</v>
      </c>
      <c r="E171" s="757" t="s">
        <v>1585</v>
      </c>
      <c r="F171" s="1131" t="s">
        <v>2742</v>
      </c>
      <c r="G171" s="1131" t="s">
        <v>2743</v>
      </c>
    </row>
    <row r="172" spans="1:9" s="571" customFormat="1">
      <c r="A172" s="757">
        <f>A171+1</f>
        <v>162</v>
      </c>
      <c r="B172" s="568">
        <v>10000</v>
      </c>
      <c r="C172" s="512" t="s">
        <v>2769</v>
      </c>
      <c r="D172" s="1597">
        <v>0</v>
      </c>
      <c r="E172" s="1204" t="s">
        <v>1585</v>
      </c>
      <c r="F172" s="890" t="s">
        <v>2779</v>
      </c>
      <c r="G172" s="890" t="s">
        <v>2875</v>
      </c>
      <c r="H172" s="285"/>
    </row>
    <row r="173" spans="1:9" s="571" customFormat="1" ht="39.6">
      <c r="A173" s="757">
        <f t="shared" si="2"/>
        <v>163</v>
      </c>
      <c r="B173" s="568">
        <v>10000</v>
      </c>
      <c r="C173" s="512" t="s">
        <v>2770</v>
      </c>
      <c r="D173" s="1597">
        <v>0</v>
      </c>
      <c r="E173" s="771" t="s">
        <v>1585</v>
      </c>
      <c r="F173" s="570" t="s">
        <v>2780</v>
      </c>
      <c r="G173" s="570" t="s">
        <v>2877</v>
      </c>
    </row>
    <row r="174" spans="1:9" s="571" customFormat="1" ht="26.4">
      <c r="A174" s="757">
        <f t="shared" si="2"/>
        <v>164</v>
      </c>
      <c r="B174" s="568">
        <v>10000</v>
      </c>
      <c r="C174" s="512" t="s">
        <v>2771</v>
      </c>
      <c r="D174" s="1597">
        <v>0</v>
      </c>
      <c r="E174" s="771" t="s">
        <v>1585</v>
      </c>
      <c r="F174" s="570" t="s">
        <v>2784</v>
      </c>
      <c r="G174" s="570" t="s">
        <v>2878</v>
      </c>
      <c r="H174" s="285"/>
    </row>
    <row r="175" spans="1:9" s="571" customFormat="1" ht="52.8">
      <c r="A175" s="757">
        <f t="shared" si="2"/>
        <v>165</v>
      </c>
      <c r="B175" s="568">
        <v>10000</v>
      </c>
      <c r="C175" s="512" t="s">
        <v>2772</v>
      </c>
      <c r="D175" s="1597">
        <v>0</v>
      </c>
      <c r="E175" s="771" t="s">
        <v>1534</v>
      </c>
      <c r="F175" s="570" t="s">
        <v>2781</v>
      </c>
      <c r="G175" s="570" t="s">
        <v>2776</v>
      </c>
      <c r="H175" s="285"/>
    </row>
    <row r="176" spans="1:9" s="571" customFormat="1" ht="52.8">
      <c r="A176" s="757">
        <f t="shared" si="2"/>
        <v>166</v>
      </c>
      <c r="B176" s="568">
        <v>10000</v>
      </c>
      <c r="C176" s="512" t="s">
        <v>2773</v>
      </c>
      <c r="D176" s="1597">
        <v>0</v>
      </c>
      <c r="E176" s="771" t="s">
        <v>1585</v>
      </c>
      <c r="F176" s="570" t="s">
        <v>2785</v>
      </c>
      <c r="G176" s="570" t="s">
        <v>2777</v>
      </c>
    </row>
    <row r="177" spans="1:8" s="571" customFormat="1" ht="52.8">
      <c r="A177" s="757">
        <f t="shared" si="2"/>
        <v>167</v>
      </c>
      <c r="B177" s="568">
        <v>10000</v>
      </c>
      <c r="C177" s="512" t="s">
        <v>2774</v>
      </c>
      <c r="D177" s="1597">
        <v>0</v>
      </c>
      <c r="E177" s="771" t="s">
        <v>1585</v>
      </c>
      <c r="F177" s="570" t="s">
        <v>2782</v>
      </c>
      <c r="G177" s="570" t="s">
        <v>2778</v>
      </c>
      <c r="H177" s="285"/>
    </row>
    <row r="178" spans="1:8" s="571" customFormat="1" ht="66">
      <c r="A178" s="757">
        <f t="shared" si="2"/>
        <v>168</v>
      </c>
      <c r="B178" s="568">
        <v>10000</v>
      </c>
      <c r="C178" s="512" t="s">
        <v>2775</v>
      </c>
      <c r="D178" s="1597">
        <v>0</v>
      </c>
      <c r="E178" s="771" t="s">
        <v>1585</v>
      </c>
      <c r="F178" s="570" t="s">
        <v>2783</v>
      </c>
      <c r="G178" s="570" t="s">
        <v>2876</v>
      </c>
      <c r="H178" s="285"/>
    </row>
    <row r="179" spans="1:8" s="571" customFormat="1">
      <c r="A179" s="757">
        <f t="shared" si="2"/>
        <v>169</v>
      </c>
      <c r="B179" s="568">
        <v>10000</v>
      </c>
      <c r="C179" s="512" t="s">
        <v>2941</v>
      </c>
      <c r="D179" s="1598">
        <v>0</v>
      </c>
      <c r="E179" s="1204" t="s">
        <v>1585</v>
      </c>
      <c r="F179" s="890" t="s">
        <v>2950</v>
      </c>
      <c r="G179" s="890" t="s">
        <v>2948</v>
      </c>
    </row>
    <row r="180" spans="1:8" s="571" customFormat="1" ht="39.6">
      <c r="A180" s="757">
        <f t="shared" si="2"/>
        <v>170</v>
      </c>
      <c r="B180" s="568">
        <v>10000</v>
      </c>
      <c r="C180" s="512" t="s">
        <v>2942</v>
      </c>
      <c r="D180" s="1366">
        <v>0</v>
      </c>
      <c r="E180" s="771" t="s">
        <v>1585</v>
      </c>
      <c r="F180" s="570" t="s">
        <v>2971</v>
      </c>
      <c r="G180" s="570" t="s">
        <v>2970</v>
      </c>
    </row>
    <row r="181" spans="1:8" s="571" customFormat="1" ht="43.95" customHeight="1">
      <c r="A181" s="757">
        <f t="shared" si="2"/>
        <v>171</v>
      </c>
      <c r="B181" s="568">
        <v>10000</v>
      </c>
      <c r="C181" s="512" t="s">
        <v>2943</v>
      </c>
      <c r="D181" s="1366">
        <v>0</v>
      </c>
      <c r="E181" s="771" t="s">
        <v>1585</v>
      </c>
      <c r="F181" s="570" t="s">
        <v>2951</v>
      </c>
      <c r="G181" s="570" t="s">
        <v>2968</v>
      </c>
      <c r="H181" s="285"/>
    </row>
    <row r="182" spans="1:8" s="571" customFormat="1" ht="55.95" customHeight="1">
      <c r="A182" s="757">
        <f t="shared" si="2"/>
        <v>172</v>
      </c>
      <c r="B182" s="568">
        <v>10000</v>
      </c>
      <c r="C182" s="512" t="s">
        <v>2944</v>
      </c>
      <c r="D182" s="1599">
        <v>4627100.4400000004</v>
      </c>
      <c r="E182" s="771" t="s">
        <v>1585</v>
      </c>
      <c r="F182" s="570" t="s">
        <v>2952</v>
      </c>
      <c r="G182" s="570" t="s">
        <v>2969</v>
      </c>
    </row>
    <row r="183" spans="1:8" s="571" customFormat="1" ht="58.2" customHeight="1">
      <c r="A183" s="757">
        <f t="shared" si="2"/>
        <v>173</v>
      </c>
      <c r="B183" s="568">
        <v>10000</v>
      </c>
      <c r="C183" s="512" t="s">
        <v>2945</v>
      </c>
      <c r="D183" s="1366">
        <v>0</v>
      </c>
      <c r="E183" s="771" t="s">
        <v>1534</v>
      </c>
      <c r="F183" s="570" t="s">
        <v>2951</v>
      </c>
      <c r="G183" s="570" t="s">
        <v>2967</v>
      </c>
      <c r="H183" s="285"/>
    </row>
    <row r="184" spans="1:8" s="571" customFormat="1" ht="96.6" customHeight="1">
      <c r="A184" s="757">
        <f t="shared" si="2"/>
        <v>174</v>
      </c>
      <c r="B184" s="568">
        <v>10000</v>
      </c>
      <c r="C184" s="512" t="s">
        <v>2946</v>
      </c>
      <c r="D184" s="1366">
        <v>0</v>
      </c>
      <c r="E184" s="771" t="s">
        <v>1585</v>
      </c>
      <c r="F184" s="570" t="s">
        <v>2953</v>
      </c>
      <c r="G184" s="570" t="s">
        <v>2966</v>
      </c>
    </row>
    <row r="185" spans="1:8" s="571" customFormat="1" ht="13.8" thickBot="1">
      <c r="A185" s="757">
        <f t="shared" si="2"/>
        <v>175</v>
      </c>
      <c r="B185" s="568">
        <v>10000</v>
      </c>
      <c r="C185" s="512" t="s">
        <v>2947</v>
      </c>
      <c r="D185" s="1366">
        <v>0</v>
      </c>
      <c r="E185" s="771" t="s">
        <v>1585</v>
      </c>
      <c r="F185" s="570" t="s">
        <v>2972</v>
      </c>
      <c r="G185" s="570" t="s">
        <v>2949</v>
      </c>
      <c r="H185" s="285"/>
    </row>
    <row r="186" spans="1:8" s="571" customFormat="1" ht="56.4" customHeight="1" thickTop="1">
      <c r="A186" s="1304">
        <f t="shared" si="2"/>
        <v>176</v>
      </c>
      <c r="B186" s="1268">
        <v>107000</v>
      </c>
      <c r="C186" s="1303" t="s">
        <v>3057</v>
      </c>
      <c r="D186" s="1600">
        <v>0</v>
      </c>
      <c r="E186" s="1269" t="s">
        <v>1585</v>
      </c>
      <c r="F186" s="1270" t="s">
        <v>3173</v>
      </c>
      <c r="G186" s="1270" t="s">
        <v>3132</v>
      </c>
      <c r="H186" s="285"/>
    </row>
    <row r="187" spans="1:8" s="571" customFormat="1" ht="28.95" customHeight="1">
      <c r="A187" s="757">
        <f t="shared" si="2"/>
        <v>177</v>
      </c>
      <c r="B187" s="568">
        <v>107000</v>
      </c>
      <c r="C187" s="512" t="s">
        <v>3058</v>
      </c>
      <c r="D187" s="1366">
        <v>0</v>
      </c>
      <c r="E187" s="771" t="s">
        <v>1534</v>
      </c>
      <c r="F187" s="570" t="s">
        <v>3176</v>
      </c>
      <c r="G187" s="570" t="s">
        <v>3133</v>
      </c>
      <c r="H187" s="285"/>
    </row>
    <row r="188" spans="1:8" s="571" customFormat="1">
      <c r="A188" s="757">
        <f t="shared" si="2"/>
        <v>178</v>
      </c>
      <c r="B188" s="568">
        <v>107000</v>
      </c>
      <c r="C188" s="512" t="s">
        <v>3059</v>
      </c>
      <c r="D188" s="1366">
        <v>0</v>
      </c>
      <c r="E188" s="771" t="s">
        <v>1585</v>
      </c>
      <c r="F188" s="570" t="s">
        <v>3067</v>
      </c>
      <c r="G188" s="570" t="s">
        <v>3141</v>
      </c>
      <c r="H188" s="285"/>
    </row>
    <row r="189" spans="1:8" s="571" customFormat="1" ht="68.400000000000006" customHeight="1">
      <c r="A189" s="757">
        <f t="shared" ref="A189:A211" si="3">A188+1</f>
        <v>179</v>
      </c>
      <c r="B189" s="568">
        <v>107000</v>
      </c>
      <c r="C189" s="512" t="s">
        <v>3060</v>
      </c>
      <c r="D189" s="1366">
        <v>0</v>
      </c>
      <c r="E189" s="771" t="s">
        <v>1534</v>
      </c>
      <c r="F189" s="570" t="s">
        <v>3174</v>
      </c>
      <c r="G189" s="570" t="s">
        <v>3135</v>
      </c>
    </row>
    <row r="190" spans="1:8" s="571" customFormat="1" ht="26.4">
      <c r="A190" s="757">
        <f t="shared" si="3"/>
        <v>180</v>
      </c>
      <c r="B190" s="568">
        <v>107000</v>
      </c>
      <c r="C190" s="512" t="s">
        <v>3061</v>
      </c>
      <c r="D190" s="1366">
        <v>0</v>
      </c>
      <c r="E190" s="771" t="s">
        <v>1585</v>
      </c>
      <c r="F190" s="570" t="s">
        <v>3068</v>
      </c>
      <c r="G190" s="570" t="s">
        <v>3125</v>
      </c>
      <c r="H190" s="285"/>
    </row>
    <row r="191" spans="1:8" s="571" customFormat="1" ht="55.2" customHeight="1">
      <c r="A191" s="757">
        <f t="shared" si="3"/>
        <v>181</v>
      </c>
      <c r="B191" s="568">
        <v>107000</v>
      </c>
      <c r="C191" s="512" t="s">
        <v>3062</v>
      </c>
      <c r="D191" s="1366">
        <v>0</v>
      </c>
      <c r="E191" s="771" t="s">
        <v>1585</v>
      </c>
      <c r="F191" s="570" t="s">
        <v>3175</v>
      </c>
      <c r="G191" s="570" t="s">
        <v>3136</v>
      </c>
      <c r="H191" s="285"/>
    </row>
    <row r="192" spans="1:8" s="571" customFormat="1" ht="69" customHeight="1">
      <c r="A192" s="757">
        <f t="shared" si="3"/>
        <v>182</v>
      </c>
      <c r="B192" s="568">
        <v>107000</v>
      </c>
      <c r="C192" s="512" t="s">
        <v>3063</v>
      </c>
      <c r="D192" s="1366">
        <v>0</v>
      </c>
      <c r="E192" s="771" t="s">
        <v>1534</v>
      </c>
      <c r="F192" s="570" t="s">
        <v>3069</v>
      </c>
      <c r="G192" s="570" t="s">
        <v>3126</v>
      </c>
      <c r="H192" s="285"/>
    </row>
    <row r="193" spans="1:8" s="571" customFormat="1" ht="41.4" customHeight="1">
      <c r="A193" s="757">
        <f t="shared" si="3"/>
        <v>183</v>
      </c>
      <c r="B193" s="568">
        <v>107000</v>
      </c>
      <c r="C193" s="512" t="s">
        <v>3064</v>
      </c>
      <c r="D193" s="1366">
        <v>0</v>
      </c>
      <c r="E193" s="771" t="s">
        <v>1585</v>
      </c>
      <c r="F193" s="570" t="s">
        <v>3070</v>
      </c>
      <c r="G193" s="570" t="s">
        <v>3139</v>
      </c>
      <c r="H193" s="285"/>
    </row>
    <row r="194" spans="1:8" s="571" customFormat="1">
      <c r="A194" s="757">
        <f t="shared" si="3"/>
        <v>184</v>
      </c>
      <c r="B194" s="568">
        <v>107000</v>
      </c>
      <c r="C194" s="512" t="s">
        <v>3065</v>
      </c>
      <c r="D194" s="1366">
        <v>0</v>
      </c>
      <c r="E194" s="771" t="s">
        <v>1585</v>
      </c>
      <c r="F194" s="570" t="s">
        <v>3071</v>
      </c>
      <c r="G194" s="570" t="s">
        <v>3124</v>
      </c>
      <c r="H194" s="285"/>
    </row>
    <row r="195" spans="1:8" s="571" customFormat="1" ht="42.6" customHeight="1">
      <c r="A195" s="757">
        <f t="shared" si="3"/>
        <v>185</v>
      </c>
      <c r="B195" s="568">
        <v>107000</v>
      </c>
      <c r="C195" s="512" t="s">
        <v>3066</v>
      </c>
      <c r="D195" s="1366">
        <v>0</v>
      </c>
      <c r="E195" s="1204" t="s">
        <v>1585</v>
      </c>
      <c r="F195" s="890" t="s">
        <v>3177</v>
      </c>
      <c r="G195" s="890" t="s">
        <v>3134</v>
      </c>
    </row>
    <row r="196" spans="1:8" s="571" customFormat="1" ht="57" customHeight="1">
      <c r="A196" s="757">
        <f t="shared" si="3"/>
        <v>186</v>
      </c>
      <c r="B196" s="568">
        <v>107000</v>
      </c>
      <c r="C196" s="512" t="s">
        <v>3219</v>
      </c>
      <c r="D196" s="1366">
        <v>0</v>
      </c>
      <c r="E196" s="1549" t="s">
        <v>1585</v>
      </c>
      <c r="F196" s="890" t="s">
        <v>3338</v>
      </c>
      <c r="G196" s="890" t="s">
        <v>3331</v>
      </c>
      <c r="H196" s="285"/>
    </row>
    <row r="197" spans="1:8" s="571" customFormat="1" ht="91.5" customHeight="1">
      <c r="A197" s="757">
        <f t="shared" si="3"/>
        <v>187</v>
      </c>
      <c r="B197" s="568">
        <v>107000</v>
      </c>
      <c r="C197" s="512" t="s">
        <v>3220</v>
      </c>
      <c r="D197" s="1599">
        <v>6851476.6299999999</v>
      </c>
      <c r="E197" s="771" t="s">
        <v>1534</v>
      </c>
      <c r="F197" s="570" t="s">
        <v>3337</v>
      </c>
      <c r="G197" s="570" t="s">
        <v>3332</v>
      </c>
    </row>
    <row r="198" spans="1:8" s="571" customFormat="1" ht="55.5" customHeight="1">
      <c r="A198" s="757">
        <f t="shared" si="3"/>
        <v>188</v>
      </c>
      <c r="B198" s="568">
        <v>107000</v>
      </c>
      <c r="C198" s="512" t="s">
        <v>3221</v>
      </c>
      <c r="D198" s="1599">
        <v>3240963.86</v>
      </c>
      <c r="E198" s="771" t="s">
        <v>1585</v>
      </c>
      <c r="F198" s="570" t="s">
        <v>3336</v>
      </c>
      <c r="G198" s="570" t="s">
        <v>3333</v>
      </c>
    </row>
    <row r="199" spans="1:8" s="571" customFormat="1" ht="68.25" customHeight="1">
      <c r="A199" s="757">
        <f t="shared" si="3"/>
        <v>189</v>
      </c>
      <c r="B199" s="568">
        <v>107000</v>
      </c>
      <c r="C199" s="512" t="s">
        <v>3222</v>
      </c>
      <c r="D199" s="1366">
        <v>0</v>
      </c>
      <c r="E199" s="771" t="s">
        <v>1585</v>
      </c>
      <c r="F199" s="570" t="s">
        <v>3335</v>
      </c>
      <c r="G199" s="570" t="s">
        <v>3334</v>
      </c>
    </row>
    <row r="200" spans="1:8" s="571" customFormat="1" ht="55.5" customHeight="1">
      <c r="A200" s="757">
        <f t="shared" si="3"/>
        <v>190</v>
      </c>
      <c r="B200" s="568">
        <v>107000</v>
      </c>
      <c r="C200" s="512" t="s">
        <v>3223</v>
      </c>
      <c r="D200" s="1366">
        <v>0</v>
      </c>
      <c r="E200" s="771" t="s">
        <v>1585</v>
      </c>
      <c r="F200" s="570" t="s">
        <v>3340</v>
      </c>
      <c r="G200" s="570" t="s">
        <v>3339</v>
      </c>
      <c r="H200" s="285"/>
    </row>
    <row r="201" spans="1:8" s="571" customFormat="1" ht="56.25" customHeight="1">
      <c r="A201" s="757">
        <f t="shared" si="3"/>
        <v>191</v>
      </c>
      <c r="B201" s="568" t="s">
        <v>3376</v>
      </c>
      <c r="C201" s="512" t="s">
        <v>3377</v>
      </c>
      <c r="D201" s="1366">
        <v>0</v>
      </c>
      <c r="E201" s="771" t="s">
        <v>1585</v>
      </c>
      <c r="F201" s="570" t="s">
        <v>3378</v>
      </c>
      <c r="G201" s="570" t="s">
        <v>3379</v>
      </c>
    </row>
    <row r="202" spans="1:8" s="571" customFormat="1" ht="66">
      <c r="A202" s="757">
        <f t="shared" si="3"/>
        <v>192</v>
      </c>
      <c r="B202" s="568" t="s">
        <v>3376</v>
      </c>
      <c r="C202" s="512" t="s">
        <v>3380</v>
      </c>
      <c r="D202" s="1366">
        <v>0</v>
      </c>
      <c r="E202" s="771" t="s">
        <v>1585</v>
      </c>
      <c r="F202" s="570" t="s">
        <v>3529</v>
      </c>
      <c r="G202" s="570" t="s">
        <v>3527</v>
      </c>
    </row>
    <row r="203" spans="1:8" s="571" customFormat="1" ht="66">
      <c r="A203" s="757">
        <f t="shared" si="3"/>
        <v>193</v>
      </c>
      <c r="B203" s="568" t="s">
        <v>3376</v>
      </c>
      <c r="C203" s="512" t="s">
        <v>3381</v>
      </c>
      <c r="D203" s="1366">
        <v>0</v>
      </c>
      <c r="E203" s="771" t="s">
        <v>1585</v>
      </c>
      <c r="F203" s="570" t="s">
        <v>3528</v>
      </c>
      <c r="G203" s="570" t="s">
        <v>3382</v>
      </c>
    </row>
    <row r="204" spans="1:8" s="571" customFormat="1" ht="105.6">
      <c r="A204" s="757">
        <f t="shared" si="3"/>
        <v>194</v>
      </c>
      <c r="B204" s="568" t="s">
        <v>3376</v>
      </c>
      <c r="C204" s="512" t="s">
        <v>3383</v>
      </c>
      <c r="D204" s="1599">
        <v>5684030.4100000001</v>
      </c>
      <c r="E204" s="771" t="s">
        <v>1585</v>
      </c>
      <c r="F204" s="570" t="s">
        <v>3384</v>
      </c>
      <c r="G204" s="570" t="s">
        <v>3385</v>
      </c>
    </row>
    <row r="205" spans="1:8" s="571" customFormat="1" ht="55.5" customHeight="1">
      <c r="A205" s="757">
        <f t="shared" si="3"/>
        <v>195</v>
      </c>
      <c r="B205" s="568" t="s">
        <v>3376</v>
      </c>
      <c r="C205" s="512" t="s">
        <v>3386</v>
      </c>
      <c r="D205" s="1599">
        <v>91510777.910000011</v>
      </c>
      <c r="E205" s="771" t="s">
        <v>1585</v>
      </c>
      <c r="F205" s="570" t="s">
        <v>3389</v>
      </c>
      <c r="G205" s="570" t="s">
        <v>3387</v>
      </c>
    </row>
    <row r="206" spans="1:8" s="571" customFormat="1" ht="119.4" thickBot="1">
      <c r="A206" s="1542">
        <f t="shared" si="3"/>
        <v>196</v>
      </c>
      <c r="B206" s="1550" t="s">
        <v>3376</v>
      </c>
      <c r="C206" s="1551" t="s">
        <v>3388</v>
      </c>
      <c r="D206" s="1682">
        <v>0</v>
      </c>
      <c r="E206" s="1552" t="s">
        <v>1534</v>
      </c>
      <c r="F206" s="1553" t="s">
        <v>3390</v>
      </c>
      <c r="G206" s="570" t="s">
        <v>3526</v>
      </c>
      <c r="H206" s="285"/>
    </row>
    <row r="207" spans="1:8" s="571" customFormat="1" ht="53.4" thickTop="1">
      <c r="A207" s="1179">
        <f t="shared" si="3"/>
        <v>197</v>
      </c>
      <c r="B207" s="1218" t="s">
        <v>3376</v>
      </c>
      <c r="C207" s="1308" t="s">
        <v>3614</v>
      </c>
      <c r="D207" s="1309">
        <v>2205714.16</v>
      </c>
      <c r="E207" s="1576" t="s">
        <v>1585</v>
      </c>
      <c r="F207" s="1219" t="s">
        <v>3619</v>
      </c>
      <c r="G207" s="1554" t="s">
        <v>3624</v>
      </c>
      <c r="H207" s="285"/>
    </row>
    <row r="208" spans="1:8" s="571" customFormat="1" ht="52.8">
      <c r="A208" s="1179">
        <f t="shared" si="3"/>
        <v>198</v>
      </c>
      <c r="B208" s="1218" t="s">
        <v>3376</v>
      </c>
      <c r="C208" s="1308" t="s">
        <v>3615</v>
      </c>
      <c r="D208" s="1309">
        <v>2411581.46</v>
      </c>
      <c r="E208" s="1576" t="s">
        <v>1585</v>
      </c>
      <c r="F208" s="1219" t="s">
        <v>3620</v>
      </c>
      <c r="G208" s="1219" t="s">
        <v>3625</v>
      </c>
      <c r="H208" s="285"/>
    </row>
    <row r="209" spans="1:8" s="571" customFormat="1" ht="39.6">
      <c r="A209" s="1179">
        <f t="shared" si="3"/>
        <v>199</v>
      </c>
      <c r="B209" s="1218" t="s">
        <v>3376</v>
      </c>
      <c r="C209" s="1308" t="s">
        <v>3616</v>
      </c>
      <c r="D209" s="1309">
        <v>1228395</v>
      </c>
      <c r="E209" s="1576" t="s">
        <v>1585</v>
      </c>
      <c r="F209" s="1219" t="s">
        <v>3621</v>
      </c>
      <c r="G209" s="1219" t="s">
        <v>3626</v>
      </c>
      <c r="H209" s="285"/>
    </row>
    <row r="210" spans="1:8" s="571" customFormat="1" ht="39.6">
      <c r="A210" s="1179">
        <f t="shared" si="3"/>
        <v>200</v>
      </c>
      <c r="B210" s="1218" t="s">
        <v>3376</v>
      </c>
      <c r="C210" s="1308" t="s">
        <v>3617</v>
      </c>
      <c r="D210" s="1309">
        <v>1228577.8900000001</v>
      </c>
      <c r="E210" s="1576" t="s">
        <v>1585</v>
      </c>
      <c r="F210" s="1219" t="s">
        <v>3622</v>
      </c>
      <c r="G210" s="1219" t="s">
        <v>3658</v>
      </c>
      <c r="H210" s="285"/>
    </row>
    <row r="211" spans="1:8" s="571" customFormat="1" ht="52.8">
      <c r="A211" s="1179">
        <f t="shared" si="3"/>
        <v>201</v>
      </c>
      <c r="B211" s="1218" t="s">
        <v>3376</v>
      </c>
      <c r="C211" s="1308" t="s">
        <v>3618</v>
      </c>
      <c r="D211" s="1309">
        <v>1183229.21</v>
      </c>
      <c r="E211" s="1576" t="s">
        <v>1585</v>
      </c>
      <c r="F211" s="1219" t="s">
        <v>3623</v>
      </c>
      <c r="G211" s="1219" t="s">
        <v>3627</v>
      </c>
      <c r="H211" s="285"/>
    </row>
    <row r="212" spans="1:8" s="571" customFormat="1">
      <c r="A212" s="505"/>
      <c r="B212" s="568"/>
      <c r="C212" s="512"/>
      <c r="D212" s="514"/>
      <c r="E212" s="569"/>
      <c r="F212" s="570"/>
      <c r="G212" s="570"/>
    </row>
    <row r="213" spans="1:8">
      <c r="B213" s="116" t="s">
        <v>1571</v>
      </c>
      <c r="G213" s="28"/>
    </row>
    <row r="214" spans="1:8">
      <c r="B214" s="117">
        <v>1</v>
      </c>
      <c r="C214" s="9" t="s">
        <v>2269</v>
      </c>
      <c r="G214" s="28"/>
    </row>
    <row r="215" spans="1:8">
      <c r="C215" s="38" t="s">
        <v>2249</v>
      </c>
      <c r="D215" s="9" t="s">
        <v>653</v>
      </c>
      <c r="G215" s="28"/>
    </row>
    <row r="216" spans="1:8">
      <c r="C216" s="10" t="s">
        <v>855</v>
      </c>
      <c r="D216" s="9" t="s">
        <v>859</v>
      </c>
      <c r="G216" s="28"/>
    </row>
    <row r="217" spans="1:8">
      <c r="C217" s="10" t="s">
        <v>856</v>
      </c>
      <c r="D217" s="9" t="s">
        <v>860</v>
      </c>
      <c r="G217" s="28"/>
    </row>
    <row r="218" spans="1:8">
      <c r="C218" s="10" t="s">
        <v>857</v>
      </c>
      <c r="D218" s="9" t="s">
        <v>861</v>
      </c>
      <c r="G218" s="28"/>
    </row>
    <row r="219" spans="1:8">
      <c r="C219" s="10" t="s">
        <v>858</v>
      </c>
      <c r="D219" s="9" t="s">
        <v>873</v>
      </c>
      <c r="G219" s="28"/>
    </row>
    <row r="220" spans="1:8">
      <c r="G220" s="28"/>
    </row>
    <row r="221" spans="1:8">
      <c r="B221" s="117">
        <v>2</v>
      </c>
      <c r="C221" s="9" t="s">
        <v>2270</v>
      </c>
      <c r="G221" s="28"/>
    </row>
    <row r="222" spans="1:8">
      <c r="G222" s="28"/>
    </row>
    <row r="223" spans="1:8">
      <c r="G223" s="28"/>
    </row>
    <row r="224" spans="1:8">
      <c r="G224" s="28"/>
    </row>
    <row r="225" spans="7:7">
      <c r="G225" s="28"/>
    </row>
    <row r="226" spans="7:7">
      <c r="G226" s="28"/>
    </row>
    <row r="227" spans="7:7">
      <c r="G227" s="28"/>
    </row>
    <row r="228" spans="7:7">
      <c r="G228" s="28"/>
    </row>
    <row r="229" spans="7:7">
      <c r="G229" s="28"/>
    </row>
    <row r="230" spans="7:7">
      <c r="G230" s="28"/>
    </row>
    <row r="231" spans="7:7">
      <c r="G231" s="28"/>
    </row>
    <row r="232" spans="7:7">
      <c r="G232" s="28"/>
    </row>
    <row r="233" spans="7:7">
      <c r="G233" s="28"/>
    </row>
    <row r="234" spans="7:7">
      <c r="G234" s="28"/>
    </row>
    <row r="235" spans="7:7">
      <c r="G235" s="28"/>
    </row>
    <row r="236" spans="7:7">
      <c r="G236" s="28"/>
    </row>
    <row r="237" spans="7:7">
      <c r="G237" s="28"/>
    </row>
    <row r="238" spans="7:7">
      <c r="G238" s="28"/>
    </row>
    <row r="239" spans="7:7">
      <c r="G239" s="28"/>
    </row>
    <row r="240" spans="7:7">
      <c r="G240" s="28"/>
    </row>
    <row r="241" spans="7:7">
      <c r="G241" s="28"/>
    </row>
    <row r="242" spans="7:7">
      <c r="G242" s="28"/>
    </row>
    <row r="243" spans="7:7">
      <c r="G243" s="28"/>
    </row>
    <row r="244" spans="7:7">
      <c r="G244" s="28"/>
    </row>
    <row r="245" spans="7:7">
      <c r="G245" s="28"/>
    </row>
    <row r="246" spans="7:7">
      <c r="G246" s="28"/>
    </row>
    <row r="247" spans="7:7">
      <c r="G247" s="28"/>
    </row>
    <row r="248" spans="7:7">
      <c r="G248" s="28"/>
    </row>
    <row r="249" spans="7:7">
      <c r="G249" s="28"/>
    </row>
    <row r="250" spans="7:7">
      <c r="G250" s="28"/>
    </row>
    <row r="251" spans="7:7">
      <c r="G251" s="28"/>
    </row>
    <row r="252" spans="7:7">
      <c r="G252" s="28"/>
    </row>
    <row r="253" spans="7:7">
      <c r="G253" s="28"/>
    </row>
    <row r="254" spans="7:7">
      <c r="G254" s="28"/>
    </row>
    <row r="255" spans="7:7">
      <c r="G255" s="28"/>
    </row>
    <row r="256" spans="7:7">
      <c r="G256" s="28"/>
    </row>
    <row r="257" spans="7:7">
      <c r="G257" s="28"/>
    </row>
    <row r="258" spans="7:7">
      <c r="G258" s="28"/>
    </row>
  </sheetData>
  <sheetProtection sheet="1" objects="1" scenarios="1"/>
  <mergeCells count="2">
    <mergeCell ref="A1:G1"/>
    <mergeCell ref="A2:G2"/>
  </mergeCells>
  <phoneticPr fontId="0" type="noConversion"/>
  <printOptions horizontalCentered="1"/>
  <pageMargins left="0.75" right="0.75" top="0.86" bottom="1" header="0.5" footer="0.5"/>
  <pageSetup scale="65" fitToHeight="0" orientation="landscape" r:id="rId1"/>
  <headerFooter alignWithMargins="0">
    <oddHeader>&amp;C&amp;"Times New Roman,Bold"&amp;16ATTACHMENT D, Page &amp;P of &amp;N
EVERGY</oddHeader>
    <oddFooter>&amp;R&amp;1#&amp;"Calibri"&amp;10&amp;KA80000Internal Use Only</oddFooter>
  </headerFooter>
  <rowBreaks count="2" manualBreakCount="2">
    <brk id="21" max="6" man="1"/>
    <brk id="29" max="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J360"/>
  <sheetViews>
    <sheetView view="pageBreakPreview" zoomScale="115" zoomScaleNormal="75" zoomScaleSheetLayoutView="115" workbookViewId="0">
      <pane xSplit="3" ySplit="10" topLeftCell="D200" activePane="bottomRight" state="frozen"/>
      <selection activeCell="M16" sqref="M16"/>
      <selection pane="topRight" activeCell="M16" sqref="M16"/>
      <selection pane="bottomLeft" activeCell="M16" sqref="M16"/>
      <selection pane="bottomRight" activeCell="A208" sqref="A208"/>
    </sheetView>
  </sheetViews>
  <sheetFormatPr defaultColWidth="9.109375" defaultRowHeight="13.2"/>
  <cols>
    <col min="1" max="1" width="7.6640625" style="38" customWidth="1"/>
    <col min="2" max="2" width="8.33203125" style="38" customWidth="1"/>
    <col min="3" max="5" width="20.6640625" style="9" customWidth="1"/>
    <col min="6" max="7" width="10.6640625" style="9" customWidth="1"/>
    <col min="8" max="14" width="20.6640625" style="9" customWidth="1"/>
    <col min="15" max="16384" width="9.109375" style="9"/>
  </cols>
  <sheetData>
    <row r="1" spans="1:10" ht="40.950000000000003" customHeight="1">
      <c r="A1" s="1757" t="s">
        <v>3015</v>
      </c>
      <c r="B1" s="1757"/>
      <c r="C1" s="1757"/>
      <c r="D1" s="1757"/>
      <c r="E1" s="1757"/>
      <c r="F1" s="1757"/>
      <c r="G1" s="1757"/>
      <c r="H1" s="1757"/>
      <c r="I1" s="1758"/>
    </row>
    <row r="2" spans="1:10" ht="19.2">
      <c r="A2" s="1759" t="str">
        <f>' Net Monthly Bill'!A2:B2</f>
        <v>For Contract Year Beginning June 1, 2024, Based on 2023 Data</v>
      </c>
      <c r="B2" s="1731"/>
      <c r="C2" s="1731"/>
      <c r="D2" s="1731"/>
      <c r="E2" s="1731"/>
      <c r="F2" s="1731"/>
      <c r="G2" s="1731"/>
      <c r="H2" s="1731"/>
      <c r="I2" s="1731"/>
      <c r="J2" s="51"/>
    </row>
    <row r="3" spans="1:10">
      <c r="A3" s="50"/>
      <c r="B3" s="50"/>
      <c r="C3" s="51"/>
      <c r="D3" s="51"/>
      <c r="E3" s="51"/>
      <c r="F3" s="51"/>
      <c r="G3" s="51"/>
      <c r="H3" s="51"/>
      <c r="I3" s="51"/>
      <c r="J3" s="51"/>
    </row>
    <row r="4" spans="1:10" ht="15.6">
      <c r="A4" s="50"/>
      <c r="B4" s="50"/>
      <c r="C4" s="29"/>
      <c r="D4" s="17" t="s">
        <v>480</v>
      </c>
      <c r="E4" s="17" t="s">
        <v>481</v>
      </c>
      <c r="F4" s="1754" t="s">
        <v>482</v>
      </c>
      <c r="G4" s="1754"/>
      <c r="H4" s="17" t="s">
        <v>657</v>
      </c>
      <c r="I4" s="17" t="s">
        <v>484</v>
      </c>
      <c r="J4" s="51"/>
    </row>
    <row r="5" spans="1:10">
      <c r="A5" s="50"/>
      <c r="B5" s="50"/>
      <c r="C5" s="51"/>
      <c r="D5" s="51"/>
      <c r="E5" s="51"/>
      <c r="F5" s="1755" t="s">
        <v>851</v>
      </c>
      <c r="G5" s="1756"/>
      <c r="H5" s="17"/>
      <c r="I5" s="18"/>
      <c r="J5" s="51"/>
    </row>
    <row r="6" spans="1:10">
      <c r="D6" s="402" t="s">
        <v>480</v>
      </c>
      <c r="E6" s="402" t="s">
        <v>481</v>
      </c>
      <c r="F6" s="403" t="s">
        <v>482</v>
      </c>
      <c r="G6" s="404" t="s">
        <v>483</v>
      </c>
      <c r="H6" s="402" t="s">
        <v>484</v>
      </c>
      <c r="I6" s="402" t="s">
        <v>884</v>
      </c>
      <c r="J6" s="51"/>
    </row>
    <row r="7" spans="1:10">
      <c r="E7" s="402" t="s">
        <v>476</v>
      </c>
      <c r="F7" s="402"/>
      <c r="G7" s="402"/>
      <c r="H7" s="402" t="s">
        <v>1565</v>
      </c>
      <c r="I7" s="402" t="s">
        <v>1566</v>
      </c>
      <c r="J7" s="51"/>
    </row>
    <row r="8" spans="1:10">
      <c r="D8" s="403" t="s">
        <v>510</v>
      </c>
      <c r="E8" s="400"/>
      <c r="F8" s="403" t="s">
        <v>2253</v>
      </c>
      <c r="G8" s="403" t="s">
        <v>2255</v>
      </c>
      <c r="H8" s="403" t="s">
        <v>362</v>
      </c>
      <c r="I8" s="403" t="s">
        <v>1567</v>
      </c>
      <c r="J8" s="51"/>
    </row>
    <row r="9" spans="1:10">
      <c r="D9" s="405" t="s">
        <v>487</v>
      </c>
      <c r="E9" s="405" t="s">
        <v>487</v>
      </c>
      <c r="F9" s="405" t="s">
        <v>2254</v>
      </c>
      <c r="G9" s="405" t="s">
        <v>2256</v>
      </c>
      <c r="H9" s="405" t="s">
        <v>302</v>
      </c>
      <c r="I9" s="405" t="s">
        <v>2257</v>
      </c>
      <c r="J9" s="51"/>
    </row>
    <row r="10" spans="1:10" ht="13.8">
      <c r="A10" s="10" t="s">
        <v>494</v>
      </c>
      <c r="B10" s="38" t="s">
        <v>1078</v>
      </c>
      <c r="C10" s="9" t="s">
        <v>1077</v>
      </c>
      <c r="D10" s="446"/>
      <c r="E10" s="406"/>
      <c r="J10" s="51"/>
    </row>
    <row r="11" spans="1:10" ht="13.8">
      <c r="E11" s="406"/>
      <c r="H11" s="406"/>
      <c r="I11" s="604"/>
      <c r="J11" s="51"/>
    </row>
    <row r="12" spans="1:10">
      <c r="A12" s="239">
        <v>1</v>
      </c>
      <c r="B12" s="30" t="str">
        <f>+'Wrksht. F, CWIP Desc. EKC'!B11</f>
        <v>1070002</v>
      </c>
      <c r="C12" s="28" t="str">
        <f>+'Wrksht. F, CWIP Desc. EKC'!C11</f>
        <v>A27502</v>
      </c>
      <c r="D12" s="1159">
        <v>5025</v>
      </c>
      <c r="E12" s="131">
        <f>+'Wrksht. F, CWIP Desc. EKC'!D11</f>
        <v>0</v>
      </c>
      <c r="F12" s="1158">
        <v>40057</v>
      </c>
      <c r="G12" s="1208">
        <v>39873</v>
      </c>
      <c r="H12" s="1159">
        <v>0</v>
      </c>
      <c r="I12" s="407">
        <f t="shared" ref="I12:I75" si="0">IF((E12-H12)&lt;=1000000,-H12,E12-H12)</f>
        <v>0</v>
      </c>
      <c r="J12" s="51"/>
    </row>
    <row r="13" spans="1:10">
      <c r="A13" s="239">
        <f>A12+1</f>
        <v>2</v>
      </c>
      <c r="B13" s="30" t="str">
        <f>+'Wrksht. F, CWIP Desc. EKC'!B12</f>
        <v>1070002</v>
      </c>
      <c r="C13" s="28" t="str">
        <f>+'Wrksht. F, CWIP Desc. EKC'!C12</f>
        <v>A29962</v>
      </c>
      <c r="D13" s="1159">
        <v>1017.55</v>
      </c>
      <c r="E13" s="131">
        <f>+'Wrksht. F, CWIP Desc. EKC'!D12</f>
        <v>0</v>
      </c>
      <c r="F13" s="1158">
        <v>40057</v>
      </c>
      <c r="G13" s="1208">
        <v>39912</v>
      </c>
      <c r="H13" s="1159">
        <v>0</v>
      </c>
      <c r="I13" s="407">
        <f t="shared" si="0"/>
        <v>0</v>
      </c>
      <c r="J13" s="51"/>
    </row>
    <row r="14" spans="1:10">
      <c r="A14" s="239">
        <f>A13+1</f>
        <v>3</v>
      </c>
      <c r="B14" s="30" t="str">
        <f>+'Wrksht. F, CWIP Desc. EKC'!B13</f>
        <v>1070002</v>
      </c>
      <c r="C14" s="28" t="str">
        <f>+'Wrksht. F, CWIP Desc. EKC'!C13</f>
        <v>TEC0700036</v>
      </c>
      <c r="D14" s="1159">
        <v>405407.19</v>
      </c>
      <c r="E14" s="33">
        <f>+'Wrksht. F, CWIP Desc. EKC'!D13</f>
        <v>0</v>
      </c>
      <c r="F14" s="1158">
        <v>40057</v>
      </c>
      <c r="G14" s="1208">
        <v>39853</v>
      </c>
      <c r="H14" s="1159">
        <v>0</v>
      </c>
      <c r="I14" s="407">
        <f t="shared" si="0"/>
        <v>0</v>
      </c>
      <c r="J14" s="51"/>
    </row>
    <row r="15" spans="1:10">
      <c r="A15" s="239">
        <f t="shared" ref="A15:A78" si="1">A14+1</f>
        <v>4</v>
      </c>
      <c r="B15" s="30" t="str">
        <f>+'Wrksht. F, CWIP Desc. EKC'!B14</f>
        <v>1070002</v>
      </c>
      <c r="C15" s="28" t="str">
        <f>+'Wrksht. F, CWIP Desc. EKC'!C14</f>
        <v>TEC0700121</v>
      </c>
      <c r="D15" s="1159">
        <v>308555.63</v>
      </c>
      <c r="E15" s="33">
        <f>+'Wrksht. F, CWIP Desc. EKC'!D14</f>
        <v>0</v>
      </c>
      <c r="F15" s="1158">
        <v>40057</v>
      </c>
      <c r="G15" s="1208">
        <v>39853</v>
      </c>
      <c r="H15" s="1159">
        <v>0</v>
      </c>
      <c r="I15" s="407">
        <f t="shared" si="0"/>
        <v>0</v>
      </c>
      <c r="J15" s="51"/>
    </row>
    <row r="16" spans="1:10">
      <c r="A16" s="239">
        <f t="shared" si="1"/>
        <v>5</v>
      </c>
      <c r="B16" s="30" t="str">
        <f>+'Wrksht. F, CWIP Desc. EKC'!B15</f>
        <v>1070002</v>
      </c>
      <c r="C16" s="28" t="str">
        <f>+'Wrksht. F, CWIP Desc. EKC'!C15</f>
        <v>TEC0700571</v>
      </c>
      <c r="D16" s="1159">
        <v>108635.5</v>
      </c>
      <c r="E16" s="33">
        <f>+'Wrksht. F, CWIP Desc. EKC'!D15</f>
        <v>0</v>
      </c>
      <c r="F16" s="1158">
        <v>40057</v>
      </c>
      <c r="G16" s="1208">
        <v>39881</v>
      </c>
      <c r="H16" s="1159">
        <v>0</v>
      </c>
      <c r="I16" s="407">
        <f t="shared" si="0"/>
        <v>0</v>
      </c>
      <c r="J16" s="51"/>
    </row>
    <row r="17" spans="1:10">
      <c r="A17" s="239">
        <f t="shared" si="1"/>
        <v>6</v>
      </c>
      <c r="B17" s="30" t="str">
        <f>+'Wrksht. F, CWIP Desc. EKC'!B16</f>
        <v>1070002</v>
      </c>
      <c r="C17" s="28" t="str">
        <f>+'Wrksht. F, CWIP Desc. EKC'!C16</f>
        <v>TEC0701293</v>
      </c>
      <c r="D17" s="1159">
        <v>0</v>
      </c>
      <c r="E17" s="33">
        <f>+'Wrksht. F, CWIP Desc. EKC'!D16</f>
        <v>0</v>
      </c>
      <c r="F17" s="1158">
        <v>40057</v>
      </c>
      <c r="G17" s="1159" t="s">
        <v>1069</v>
      </c>
      <c r="H17" s="1159">
        <v>0</v>
      </c>
      <c r="I17" s="407">
        <f t="shared" si="0"/>
        <v>0</v>
      </c>
      <c r="J17" s="51"/>
    </row>
    <row r="18" spans="1:10">
      <c r="A18" s="239">
        <f t="shared" si="1"/>
        <v>7</v>
      </c>
      <c r="B18" s="408" t="str">
        <f>+'Wrksht. F, CWIP Desc. EKC'!B17</f>
        <v>1070002</v>
      </c>
      <c r="C18" s="32" t="str">
        <f>+'Wrksht. F, CWIP Desc. EKC'!C17</f>
        <v>TEC0705715</v>
      </c>
      <c r="D18" s="1159">
        <v>287046.96000000002</v>
      </c>
      <c r="E18" s="33">
        <f>+'Wrksht. F, CWIP Desc. EKC'!D17</f>
        <v>0</v>
      </c>
      <c r="F18" s="1158">
        <v>40057</v>
      </c>
      <c r="G18" s="1208">
        <v>39822</v>
      </c>
      <c r="H18" s="1159">
        <v>0</v>
      </c>
      <c r="I18" s="407">
        <f t="shared" si="0"/>
        <v>0</v>
      </c>
      <c r="J18" s="51"/>
    </row>
    <row r="19" spans="1:10">
      <c r="A19" s="239">
        <f t="shared" si="1"/>
        <v>8</v>
      </c>
      <c r="B19" s="408" t="str">
        <f>+'Wrksht. F, CWIP Desc. EKC'!B18</f>
        <v>1070002</v>
      </c>
      <c r="C19" s="32" t="str">
        <f>+'Wrksht. F, CWIP Desc. EKC'!C18</f>
        <v xml:space="preserve">TEC0705816 </v>
      </c>
      <c r="D19" s="1159">
        <v>0</v>
      </c>
      <c r="E19" s="33">
        <f>+'Wrksht. F, CWIP Desc. EKC'!D18</f>
        <v>0</v>
      </c>
      <c r="F19" s="1158">
        <v>40057</v>
      </c>
      <c r="G19" s="1159" t="s">
        <v>1069</v>
      </c>
      <c r="H19" s="1159">
        <v>0</v>
      </c>
      <c r="I19" s="407">
        <f t="shared" si="0"/>
        <v>0</v>
      </c>
      <c r="J19" s="51"/>
    </row>
    <row r="20" spans="1:10">
      <c r="A20" s="239">
        <f t="shared" si="1"/>
        <v>9</v>
      </c>
      <c r="B20" s="408" t="str">
        <f>+'Wrksht. F, CWIP Desc. EKC'!B19</f>
        <v>1070002</v>
      </c>
      <c r="C20" s="32" t="str">
        <f>+'Wrksht. F, CWIP Desc. EKC'!C19</f>
        <v>TEC0705945</v>
      </c>
      <c r="D20" s="1159">
        <v>3475445.7599999998</v>
      </c>
      <c r="E20" s="33">
        <f>+'Wrksht. F, CWIP Desc. EKC'!D19</f>
        <v>0</v>
      </c>
      <c r="F20" s="1158">
        <v>40057</v>
      </c>
      <c r="G20" s="1158">
        <v>41681</v>
      </c>
      <c r="H20" s="1159">
        <v>0</v>
      </c>
      <c r="I20" s="407">
        <f t="shared" si="0"/>
        <v>0</v>
      </c>
      <c r="J20" s="51"/>
    </row>
    <row r="21" spans="1:10">
      <c r="A21" s="239">
        <f t="shared" si="1"/>
        <v>10</v>
      </c>
      <c r="B21" s="30" t="str">
        <f>+'Wrksht. F, CWIP Desc. EKC'!B20</f>
        <v>1070002</v>
      </c>
      <c r="C21" s="28" t="str">
        <f>+'Wrksht. F, CWIP Desc. EKC'!C20</f>
        <v>TEC0800275</v>
      </c>
      <c r="D21" s="1159">
        <v>3425.92</v>
      </c>
      <c r="E21" s="33">
        <f>+'Wrksht. F, CWIP Desc. EKC'!D20</f>
        <v>0</v>
      </c>
      <c r="F21" s="1158">
        <v>40057</v>
      </c>
      <c r="G21" s="1209">
        <v>39881</v>
      </c>
      <c r="H21" s="1159">
        <v>0</v>
      </c>
      <c r="I21" s="407">
        <f t="shared" si="0"/>
        <v>0</v>
      </c>
      <c r="J21" s="51"/>
    </row>
    <row r="22" spans="1:10">
      <c r="A22" s="239">
        <f t="shared" si="1"/>
        <v>11</v>
      </c>
      <c r="B22" s="30" t="str">
        <f>+'Wrksht. F, CWIP Desc. EKC'!B21</f>
        <v>1070002</v>
      </c>
      <c r="C22" s="28" t="str">
        <f>+'Wrksht. F, CWIP Desc. EKC'!C21</f>
        <v>TEC0800624</v>
      </c>
      <c r="D22" s="1159">
        <v>77750.45</v>
      </c>
      <c r="E22" s="33">
        <f>+'Wrksht. F, CWIP Desc. EKC'!D21</f>
        <v>0</v>
      </c>
      <c r="F22" s="1158">
        <v>40057</v>
      </c>
      <c r="G22" s="1209">
        <v>39853</v>
      </c>
      <c r="H22" s="1159">
        <v>0</v>
      </c>
      <c r="I22" s="407">
        <f t="shared" si="0"/>
        <v>0</v>
      </c>
      <c r="J22" s="51"/>
    </row>
    <row r="23" spans="1:10">
      <c r="A23" s="239">
        <f t="shared" si="1"/>
        <v>12</v>
      </c>
      <c r="B23" s="30" t="str">
        <f>+'Wrksht. F, CWIP Desc. EKC'!B22</f>
        <v>1070002</v>
      </c>
      <c r="C23" s="28" t="str">
        <f>+'Wrksht. F, CWIP Desc. EKC'!C22</f>
        <v>TEC0800625</v>
      </c>
      <c r="D23" s="1159">
        <v>86595.4</v>
      </c>
      <c r="E23" s="33">
        <f>+'Wrksht. F, CWIP Desc. EKC'!D22</f>
        <v>0</v>
      </c>
      <c r="F23" s="1158">
        <v>40057</v>
      </c>
      <c r="G23" s="1209">
        <v>39853</v>
      </c>
      <c r="H23" s="1159">
        <v>0</v>
      </c>
      <c r="I23" s="407">
        <f t="shared" si="0"/>
        <v>0</v>
      </c>
      <c r="J23" s="51"/>
    </row>
    <row r="24" spans="1:10">
      <c r="A24" s="239">
        <f t="shared" si="1"/>
        <v>13</v>
      </c>
      <c r="B24" s="30" t="str">
        <f>+'Wrksht. F, CWIP Desc. EKC'!B23</f>
        <v>1070002</v>
      </c>
      <c r="C24" s="28" t="str">
        <f>+'Wrksht. F, CWIP Desc. EKC'!C23</f>
        <v>TEC0800881</v>
      </c>
      <c r="D24" s="1159">
        <v>968273.58</v>
      </c>
      <c r="E24" s="33">
        <f>+'Wrksht. F, CWIP Desc. EKC'!D23</f>
        <v>0</v>
      </c>
      <c r="F24" s="1158">
        <v>40057</v>
      </c>
      <c r="G24" s="1209">
        <v>39853</v>
      </c>
      <c r="H24" s="1159">
        <v>0</v>
      </c>
      <c r="I24" s="407">
        <f t="shared" si="0"/>
        <v>0</v>
      </c>
      <c r="J24" s="51"/>
    </row>
    <row r="25" spans="1:10">
      <c r="A25" s="239">
        <f t="shared" si="1"/>
        <v>14</v>
      </c>
      <c r="B25" s="30" t="str">
        <f>+'Wrksht. F, CWIP Desc. EKC'!B24</f>
        <v>1070002</v>
      </c>
      <c r="C25" s="28" t="str">
        <f>+'Wrksht. F, CWIP Desc. EKC'!C24</f>
        <v>TEC0800915</v>
      </c>
      <c r="D25" s="1159">
        <v>516429.27</v>
      </c>
      <c r="E25" s="33">
        <f>+'Wrksht. F, CWIP Desc. EKC'!D24</f>
        <v>0</v>
      </c>
      <c r="F25" s="1158">
        <v>40057</v>
      </c>
      <c r="G25" s="1209">
        <v>39853</v>
      </c>
      <c r="H25" s="1159">
        <v>0</v>
      </c>
      <c r="I25" s="407">
        <f t="shared" si="0"/>
        <v>0</v>
      </c>
      <c r="J25" s="51"/>
    </row>
    <row r="26" spans="1:10">
      <c r="A26" s="239">
        <f t="shared" si="1"/>
        <v>15</v>
      </c>
      <c r="B26" s="30" t="str">
        <f>+'Wrksht. F, CWIP Desc. EKC'!B25</f>
        <v>1070002</v>
      </c>
      <c r="C26" s="28" t="str">
        <f>+'Wrksht. F, CWIP Desc. EKC'!C25</f>
        <v>TEC0801432</v>
      </c>
      <c r="D26" s="1159">
        <v>215047.98</v>
      </c>
      <c r="E26" s="33">
        <f>+'Wrksht. F, CWIP Desc. EKC'!D25</f>
        <v>0</v>
      </c>
      <c r="F26" s="1158">
        <v>40057</v>
      </c>
      <c r="G26" s="1209">
        <v>39853</v>
      </c>
      <c r="H26" s="1159">
        <v>0</v>
      </c>
      <c r="I26" s="407">
        <f t="shared" si="0"/>
        <v>0</v>
      </c>
      <c r="J26" s="51"/>
    </row>
    <row r="27" spans="1:10">
      <c r="A27" s="239">
        <f t="shared" si="1"/>
        <v>16</v>
      </c>
      <c r="B27" s="30" t="str">
        <f>+'Wrksht. F, CWIP Desc. EKC'!B26</f>
        <v>1070002</v>
      </c>
      <c r="C27" s="28" t="str">
        <f>+'Wrksht. F, CWIP Desc. EKC'!C26</f>
        <v>TEC0801887</v>
      </c>
      <c r="D27" s="1159">
        <v>956813.95</v>
      </c>
      <c r="E27" s="33">
        <f>+'Wrksht. F, CWIP Desc. EKC'!D26</f>
        <v>0</v>
      </c>
      <c r="F27" s="1158">
        <v>40057</v>
      </c>
      <c r="G27" s="1159" t="s">
        <v>1069</v>
      </c>
      <c r="H27" s="1159">
        <v>0</v>
      </c>
      <c r="I27" s="407">
        <f t="shared" si="0"/>
        <v>0</v>
      </c>
      <c r="J27" s="51"/>
    </row>
    <row r="28" spans="1:10">
      <c r="A28" s="239">
        <f t="shared" si="1"/>
        <v>17</v>
      </c>
      <c r="B28" s="30" t="str">
        <f>+'Wrksht. F, CWIP Desc. EKC'!B27</f>
        <v>1070002</v>
      </c>
      <c r="C28" s="28" t="str">
        <f>+'Wrksht. F, CWIP Desc. EKC'!C27</f>
        <v>TEC0802112</v>
      </c>
      <c r="D28" s="1159">
        <v>628960.46</v>
      </c>
      <c r="E28" s="33">
        <f>+'Wrksht. F, CWIP Desc. EKC'!D27</f>
        <v>0</v>
      </c>
      <c r="F28" s="1158">
        <v>40057</v>
      </c>
      <c r="G28" s="1209">
        <v>39853</v>
      </c>
      <c r="H28" s="1159">
        <v>0</v>
      </c>
      <c r="I28" s="407">
        <f t="shared" si="0"/>
        <v>0</v>
      </c>
      <c r="J28" s="51"/>
    </row>
    <row r="29" spans="1:10">
      <c r="A29" s="239">
        <f t="shared" si="1"/>
        <v>18</v>
      </c>
      <c r="B29" s="30" t="str">
        <f>+'Wrksht. F, CWIP Desc. EKC'!B28</f>
        <v>1070002</v>
      </c>
      <c r="C29" s="28" t="str">
        <f>+'Wrksht. F, CWIP Desc. EKC'!C28</f>
        <v>TEC0802277</v>
      </c>
      <c r="D29" s="1159">
        <v>129502.73</v>
      </c>
      <c r="E29" s="33">
        <f>+'Wrksht. F, CWIP Desc. EKC'!D28</f>
        <v>0</v>
      </c>
      <c r="F29" s="1158">
        <v>40057</v>
      </c>
      <c r="G29" s="1158">
        <v>40645</v>
      </c>
      <c r="H29" s="1159">
        <v>0</v>
      </c>
      <c r="I29" s="407">
        <f t="shared" si="0"/>
        <v>0</v>
      </c>
      <c r="J29" s="51"/>
    </row>
    <row r="30" spans="1:10">
      <c r="A30" s="239">
        <f t="shared" si="1"/>
        <v>19</v>
      </c>
      <c r="B30" s="30" t="str">
        <f>+'Wrksht. F, CWIP Desc. EKC'!B29</f>
        <v>1070002</v>
      </c>
      <c r="C30" s="28" t="str">
        <f>+'Wrksht. F, CWIP Desc. EKC'!C29</f>
        <v>TEC0802576</v>
      </c>
      <c r="D30" s="1159">
        <v>272839.45</v>
      </c>
      <c r="E30" s="33">
        <f>+'Wrksht. F, CWIP Desc. EKC'!D29</f>
        <v>0</v>
      </c>
      <c r="F30" s="1158">
        <v>40057</v>
      </c>
      <c r="G30" s="1209">
        <v>39881</v>
      </c>
      <c r="H30" s="1159">
        <v>0</v>
      </c>
      <c r="I30" s="407">
        <f t="shared" si="0"/>
        <v>0</v>
      </c>
      <c r="J30" s="51"/>
    </row>
    <row r="31" spans="1:10">
      <c r="A31" s="239">
        <f t="shared" si="1"/>
        <v>20</v>
      </c>
      <c r="B31" s="408" t="str">
        <f>+'Wrksht. F, CWIP Desc. EKC'!B30</f>
        <v>1070002</v>
      </c>
      <c r="C31" s="34" t="str">
        <f>+'Wrksht. F, CWIP Desc. EKC'!C30</f>
        <v>TEC0803513</v>
      </c>
      <c r="D31" s="1159">
        <v>797.9</v>
      </c>
      <c r="E31" s="33">
        <f>+'Wrksht. F, CWIP Desc. EKC'!D30</f>
        <v>0</v>
      </c>
      <c r="F31" s="1158">
        <v>40057</v>
      </c>
      <c r="G31" s="1209">
        <v>39881</v>
      </c>
      <c r="H31" s="1159">
        <v>0</v>
      </c>
      <c r="I31" s="407">
        <f t="shared" si="0"/>
        <v>0</v>
      </c>
      <c r="J31" s="51"/>
    </row>
    <row r="32" spans="1:10">
      <c r="A32" s="239">
        <f t="shared" si="1"/>
        <v>21</v>
      </c>
      <c r="B32" s="408" t="str">
        <f>+'Wrksht. F, CWIP Desc. EKC'!B31</f>
        <v>1070002</v>
      </c>
      <c r="C32" s="34" t="str">
        <f>+'Wrksht. F, CWIP Desc. EKC'!C31</f>
        <v>TEC0803710</v>
      </c>
      <c r="D32" s="1159">
        <v>5931.27</v>
      </c>
      <c r="E32" s="33">
        <f>+'Wrksht. F, CWIP Desc. EKC'!D31</f>
        <v>0</v>
      </c>
      <c r="F32" s="1158">
        <v>40057</v>
      </c>
      <c r="G32" s="1209">
        <v>39822</v>
      </c>
      <c r="H32" s="1159">
        <v>0</v>
      </c>
      <c r="I32" s="407">
        <f t="shared" si="0"/>
        <v>0</v>
      </c>
      <c r="J32" s="51"/>
    </row>
    <row r="33" spans="1:10">
      <c r="A33" s="239">
        <f t="shared" si="1"/>
        <v>22</v>
      </c>
      <c r="B33" s="30" t="str">
        <f>+'Wrksht. F, CWIP Desc. EKC'!B32</f>
        <v>1070002</v>
      </c>
      <c r="C33" s="28" t="str">
        <f>+'Wrksht. F, CWIP Desc. EKC'!C32</f>
        <v>TEC0803936</v>
      </c>
      <c r="D33" s="1159">
        <v>3954.66</v>
      </c>
      <c r="E33" s="33">
        <f>+'Wrksht. F, CWIP Desc. EKC'!D32</f>
        <v>0</v>
      </c>
      <c r="F33" s="1158">
        <v>40057</v>
      </c>
      <c r="G33" s="1209">
        <v>39881</v>
      </c>
      <c r="H33" s="1159">
        <v>0</v>
      </c>
      <c r="I33" s="407">
        <f t="shared" si="0"/>
        <v>0</v>
      </c>
      <c r="J33" s="51"/>
    </row>
    <row r="34" spans="1:10">
      <c r="A34" s="239">
        <f t="shared" si="1"/>
        <v>23</v>
      </c>
      <c r="B34" s="30" t="str">
        <f>+'Wrksht. F, CWIP Desc. EKC'!B33</f>
        <v>1070002</v>
      </c>
      <c r="C34" s="28" t="str">
        <f>+'Wrksht. F, CWIP Desc. EKC'!C33</f>
        <v>TEC0804550</v>
      </c>
      <c r="D34" s="1159">
        <v>5665.83</v>
      </c>
      <c r="E34" s="33">
        <f>+'Wrksht. F, CWIP Desc. EKC'!D33</f>
        <v>0</v>
      </c>
      <c r="F34" s="1158">
        <v>40057</v>
      </c>
      <c r="G34" s="1209">
        <v>39881</v>
      </c>
      <c r="H34" s="1159">
        <v>0</v>
      </c>
      <c r="I34" s="407">
        <f t="shared" si="0"/>
        <v>0</v>
      </c>
      <c r="J34" s="51"/>
    </row>
    <row r="35" spans="1:10">
      <c r="A35" s="239">
        <f t="shared" si="1"/>
        <v>24</v>
      </c>
      <c r="B35" s="30" t="str">
        <f>+'Wrksht. F, CWIP Desc. EKC'!B34</f>
        <v>1070002</v>
      </c>
      <c r="C35" s="28" t="str">
        <f>+'Wrksht. F, CWIP Desc. EKC'!C34</f>
        <v>TEC0804719</v>
      </c>
      <c r="D35" s="1159">
        <v>935.97</v>
      </c>
      <c r="E35" s="33">
        <f>+'Wrksht. F, CWIP Desc. EKC'!D34</f>
        <v>0</v>
      </c>
      <c r="F35" s="1158">
        <v>40057</v>
      </c>
      <c r="G35" s="1209">
        <v>39822</v>
      </c>
      <c r="H35" s="1159">
        <v>0</v>
      </c>
      <c r="I35" s="407">
        <f t="shared" si="0"/>
        <v>0</v>
      </c>
      <c r="J35" s="51"/>
    </row>
    <row r="36" spans="1:10">
      <c r="A36" s="239">
        <f t="shared" si="1"/>
        <v>25</v>
      </c>
      <c r="B36" s="30" t="str">
        <f>+'Wrksht. F, CWIP Desc. EKC'!B35</f>
        <v>1070002</v>
      </c>
      <c r="C36" s="32" t="str">
        <f>+'Wrksht. F, CWIP Desc. EKC'!C35</f>
        <v>LEC0801112</v>
      </c>
      <c r="D36" s="1159">
        <v>9622.33</v>
      </c>
      <c r="E36" s="33">
        <f>+'Wrksht. F, CWIP Desc. EKC'!D35</f>
        <v>0</v>
      </c>
      <c r="F36" s="1158">
        <v>40057</v>
      </c>
      <c r="G36" s="1209">
        <v>39873</v>
      </c>
      <c r="H36" s="1159">
        <v>0</v>
      </c>
      <c r="I36" s="407">
        <f t="shared" si="0"/>
        <v>0</v>
      </c>
      <c r="J36" s="51"/>
    </row>
    <row r="37" spans="1:10">
      <c r="A37" s="239">
        <f t="shared" si="1"/>
        <v>26</v>
      </c>
      <c r="B37" s="30" t="str">
        <f>+'Wrksht. F, CWIP Desc. EKC'!B36</f>
        <v>1070002</v>
      </c>
      <c r="C37" s="28" t="str">
        <f>+'Wrksht. F, CWIP Desc. EKC'!C36</f>
        <v>A30062</v>
      </c>
      <c r="D37" s="1159">
        <v>1526.33</v>
      </c>
      <c r="E37" s="33">
        <f>+'Wrksht. F, CWIP Desc. EKC'!D36</f>
        <v>0</v>
      </c>
      <c r="F37" s="1158">
        <v>40057</v>
      </c>
      <c r="G37" s="1209">
        <v>39912</v>
      </c>
      <c r="H37" s="1159">
        <v>0</v>
      </c>
      <c r="I37" s="407">
        <f t="shared" si="0"/>
        <v>0</v>
      </c>
      <c r="J37" s="51"/>
    </row>
    <row r="38" spans="1:10">
      <c r="A38" s="239">
        <f t="shared" si="1"/>
        <v>27</v>
      </c>
      <c r="B38" s="30" t="str">
        <f>+'Wrksht. F, CWIP Desc. EKC'!B37</f>
        <v>1070002</v>
      </c>
      <c r="C38" s="28" t="str">
        <f>+'Wrksht. F, CWIP Desc. EKC'!C37</f>
        <v>LEC0504104</v>
      </c>
      <c r="D38" s="1159">
        <v>2295438.1</v>
      </c>
      <c r="E38" s="33">
        <f>+'Wrksht. F, CWIP Desc. EKC'!D37</f>
        <v>0</v>
      </c>
      <c r="F38" s="1158">
        <v>40057</v>
      </c>
      <c r="G38" s="1209">
        <v>39973</v>
      </c>
      <c r="H38" s="1159">
        <v>0</v>
      </c>
      <c r="I38" s="407">
        <f t="shared" si="0"/>
        <v>0</v>
      </c>
      <c r="J38" s="51"/>
    </row>
    <row r="39" spans="1:10">
      <c r="A39" s="239">
        <f t="shared" si="1"/>
        <v>28</v>
      </c>
      <c r="B39" s="30" t="str">
        <f>+'Wrksht. F, CWIP Desc. EKC'!B38</f>
        <v>1070002</v>
      </c>
      <c r="C39" s="28" t="str">
        <f>+'Wrksht. F, CWIP Desc. EKC'!C38</f>
        <v>LEC0601996</v>
      </c>
      <c r="D39" s="1159">
        <v>774052.46</v>
      </c>
      <c r="E39" s="33">
        <f>+'Wrksht. F, CWIP Desc. EKC'!D38</f>
        <v>0</v>
      </c>
      <c r="F39" s="1158">
        <v>40057</v>
      </c>
      <c r="G39" s="1209">
        <v>40034</v>
      </c>
      <c r="H39" s="1159">
        <v>0</v>
      </c>
      <c r="I39" s="407">
        <f t="shared" si="0"/>
        <v>0</v>
      </c>
      <c r="J39" s="51"/>
    </row>
    <row r="40" spans="1:10">
      <c r="A40" s="239">
        <f t="shared" si="1"/>
        <v>29</v>
      </c>
      <c r="B40" s="30" t="str">
        <f>+'Wrksht. F, CWIP Desc. EKC'!B39</f>
        <v>1070002</v>
      </c>
      <c r="C40" s="28" t="str">
        <f>+'Wrksht. F, CWIP Desc. EKC'!C39</f>
        <v>LEC0704585</v>
      </c>
      <c r="D40" s="1159">
        <v>2955.26</v>
      </c>
      <c r="E40" s="33">
        <f>+'Wrksht. F, CWIP Desc. EKC'!D39</f>
        <v>0</v>
      </c>
      <c r="F40" s="1158">
        <v>40057</v>
      </c>
      <c r="G40" s="1209">
        <v>39490</v>
      </c>
      <c r="H40" s="1159">
        <v>0</v>
      </c>
      <c r="I40" s="407">
        <f t="shared" si="0"/>
        <v>0</v>
      </c>
      <c r="J40" s="51"/>
    </row>
    <row r="41" spans="1:10">
      <c r="A41" s="239">
        <f t="shared" si="1"/>
        <v>30</v>
      </c>
      <c r="B41" s="30" t="str">
        <f>+'Wrksht. F, CWIP Desc. EKC'!B40</f>
        <v>1070002</v>
      </c>
      <c r="C41" s="28" t="str">
        <f>+'Wrksht. F, CWIP Desc. EKC'!C40</f>
        <v>LEC0710069</v>
      </c>
      <c r="D41" s="1159">
        <v>874493.7</v>
      </c>
      <c r="E41" s="33">
        <f>+'Wrksht. F, CWIP Desc. EKC'!D40</f>
        <v>0</v>
      </c>
      <c r="F41" s="1158">
        <v>40057</v>
      </c>
      <c r="G41" s="1158">
        <v>41410</v>
      </c>
      <c r="H41" s="1159">
        <v>0</v>
      </c>
      <c r="I41" s="407">
        <f t="shared" si="0"/>
        <v>0</v>
      </c>
      <c r="J41" s="51"/>
    </row>
    <row r="42" spans="1:10">
      <c r="A42" s="239">
        <f t="shared" si="1"/>
        <v>31</v>
      </c>
      <c r="B42" s="30" t="str">
        <f>+'Wrksht. F, CWIP Desc. EKC'!B41</f>
        <v>1070002</v>
      </c>
      <c r="C42" s="28" t="str">
        <f>+'Wrksht. F, CWIP Desc. EKC'!C41</f>
        <v>LEC0710070</v>
      </c>
      <c r="D42" s="1159">
        <v>0</v>
      </c>
      <c r="E42" s="33">
        <f>+'Wrksht. F, CWIP Desc. EKC'!D41</f>
        <v>0</v>
      </c>
      <c r="F42" s="1158">
        <v>40057</v>
      </c>
      <c r="G42" s="1159" t="s">
        <v>1069</v>
      </c>
      <c r="H42" s="1159">
        <v>0</v>
      </c>
      <c r="I42" s="407">
        <f t="shared" si="0"/>
        <v>0</v>
      </c>
      <c r="J42" s="51"/>
    </row>
    <row r="43" spans="1:10">
      <c r="A43" s="239">
        <f t="shared" si="1"/>
        <v>32</v>
      </c>
      <c r="B43" s="30" t="str">
        <f>+'Wrksht. F, CWIP Desc. EKC'!B42</f>
        <v>1070002</v>
      </c>
      <c r="C43" s="28" t="str">
        <f>+'Wrksht. F, CWIP Desc. EKC'!C42</f>
        <v>LEC0800820</v>
      </c>
      <c r="D43" s="1159">
        <v>2264650.44</v>
      </c>
      <c r="E43" s="33">
        <f>+'Wrksht. F, CWIP Desc. EKC'!D42</f>
        <v>0</v>
      </c>
      <c r="F43" s="1158">
        <v>40057</v>
      </c>
      <c r="G43" s="1158">
        <v>40095</v>
      </c>
      <c r="H43" s="1159">
        <v>0</v>
      </c>
      <c r="I43" s="407">
        <f t="shared" si="0"/>
        <v>0</v>
      </c>
      <c r="J43" s="51"/>
    </row>
    <row r="44" spans="1:10">
      <c r="A44" s="239">
        <f t="shared" si="1"/>
        <v>33</v>
      </c>
      <c r="B44" s="30" t="str">
        <f>+'Wrksht. F, CWIP Desc. EKC'!B43</f>
        <v>1070002</v>
      </c>
      <c r="C44" s="28" t="str">
        <f>+'Wrksht. F, CWIP Desc. EKC'!C43</f>
        <v>LEC0801068</v>
      </c>
      <c r="D44" s="1159">
        <v>1837.57</v>
      </c>
      <c r="E44" s="33">
        <f>+'Wrksht. F, CWIP Desc. EKC'!D43</f>
        <v>0</v>
      </c>
      <c r="F44" s="1158">
        <v>40057</v>
      </c>
      <c r="G44" s="1209">
        <v>39881</v>
      </c>
      <c r="H44" s="1159">
        <v>0</v>
      </c>
      <c r="I44" s="407">
        <f t="shared" si="0"/>
        <v>0</v>
      </c>
      <c r="J44" s="51"/>
    </row>
    <row r="45" spans="1:10">
      <c r="A45" s="239">
        <f t="shared" si="1"/>
        <v>34</v>
      </c>
      <c r="B45" s="30" t="str">
        <f>+'Wrksht. F, CWIP Desc. EKC'!B44</f>
        <v>1070002</v>
      </c>
      <c r="C45" s="28" t="str">
        <f>+'Wrksht. F, CWIP Desc. EKC'!C44</f>
        <v>LEC0802635</v>
      </c>
      <c r="D45" s="1159">
        <v>155722.04999999999</v>
      </c>
      <c r="E45" s="33">
        <f>+'Wrksht. F, CWIP Desc. EKC'!D44</f>
        <v>0</v>
      </c>
      <c r="F45" s="1158">
        <v>40057</v>
      </c>
      <c r="G45" s="1209">
        <v>39942</v>
      </c>
      <c r="H45" s="1159">
        <v>0</v>
      </c>
      <c r="I45" s="407">
        <f t="shared" si="0"/>
        <v>0</v>
      </c>
      <c r="J45" s="51"/>
    </row>
    <row r="46" spans="1:10">
      <c r="A46" s="239">
        <f t="shared" si="1"/>
        <v>35</v>
      </c>
      <c r="B46" s="30" t="str">
        <f>+'Wrksht. F, CWIP Desc. EKC'!B45</f>
        <v>1070002</v>
      </c>
      <c r="C46" s="28" t="str">
        <f>+'Wrksht. F, CWIP Desc. EKC'!C45</f>
        <v>LEC0802645</v>
      </c>
      <c r="D46" s="1159">
        <v>3586912.62</v>
      </c>
      <c r="E46" s="33">
        <f>+'Wrksht. F, CWIP Desc. EKC'!D45</f>
        <v>0</v>
      </c>
      <c r="F46" s="1158">
        <v>40057</v>
      </c>
      <c r="G46" s="1158">
        <v>40378</v>
      </c>
      <c r="H46" s="1159">
        <v>0</v>
      </c>
      <c r="I46" s="407">
        <f t="shared" si="0"/>
        <v>0</v>
      </c>
      <c r="J46" s="51"/>
    </row>
    <row r="47" spans="1:10">
      <c r="A47" s="239">
        <f t="shared" si="1"/>
        <v>36</v>
      </c>
      <c r="B47" s="30" t="str">
        <f>+'Wrksht. F, CWIP Desc. EKC'!B46</f>
        <v>1070002</v>
      </c>
      <c r="C47" s="28" t="str">
        <f>+'Wrksht. F, CWIP Desc. EKC'!C46</f>
        <v>LEC0803059</v>
      </c>
      <c r="D47" s="1159">
        <v>9659.41</v>
      </c>
      <c r="E47" s="33">
        <f>+'Wrksht. F, CWIP Desc. EKC'!D46</f>
        <v>0</v>
      </c>
      <c r="F47" s="1158">
        <v>40057</v>
      </c>
      <c r="G47" s="1209">
        <v>39822</v>
      </c>
      <c r="H47" s="1159">
        <v>0</v>
      </c>
      <c r="I47" s="407">
        <f t="shared" si="0"/>
        <v>0</v>
      </c>
      <c r="J47" s="51"/>
    </row>
    <row r="48" spans="1:10">
      <c r="A48" s="239">
        <f t="shared" si="1"/>
        <v>37</v>
      </c>
      <c r="B48" s="30" t="str">
        <f>+'Wrksht. F, CWIP Desc. EKC'!B47</f>
        <v>1070002</v>
      </c>
      <c r="C48" s="28" t="str">
        <f>+'Wrksht. F, CWIP Desc. EKC'!C47</f>
        <v>LEC0803658</v>
      </c>
      <c r="D48" s="1159">
        <v>172584.88</v>
      </c>
      <c r="E48" s="33">
        <f>+'Wrksht. F, CWIP Desc. EKC'!D47</f>
        <v>0</v>
      </c>
      <c r="F48" s="1158">
        <v>40057</v>
      </c>
      <c r="G48" s="1209">
        <v>39822</v>
      </c>
      <c r="H48" s="1159">
        <v>0</v>
      </c>
      <c r="I48" s="407">
        <f t="shared" si="0"/>
        <v>0</v>
      </c>
      <c r="J48" s="51"/>
    </row>
    <row r="49" spans="1:10">
      <c r="A49" s="239">
        <f t="shared" si="1"/>
        <v>38</v>
      </c>
      <c r="B49" s="30" t="str">
        <f>+'Wrksht. F, CWIP Desc. EKC'!B48</f>
        <v>1070002</v>
      </c>
      <c r="C49" s="28" t="str">
        <f>+'Wrksht. F, CWIP Desc. EKC'!C48</f>
        <v>LEC0804393</v>
      </c>
      <c r="D49" s="1159">
        <v>956128.4</v>
      </c>
      <c r="E49" s="33">
        <f>+'Wrksht. F, CWIP Desc. EKC'!D48</f>
        <v>0</v>
      </c>
      <c r="F49" s="1158">
        <v>40057</v>
      </c>
      <c r="G49" s="1209">
        <v>39853</v>
      </c>
      <c r="H49" s="1159">
        <v>0</v>
      </c>
      <c r="I49" s="407">
        <f t="shared" si="0"/>
        <v>0</v>
      </c>
      <c r="J49" s="51"/>
    </row>
    <row r="50" spans="1:10">
      <c r="A50" s="239">
        <f t="shared" si="1"/>
        <v>39</v>
      </c>
      <c r="B50" s="30" t="str">
        <f>+'Wrksht. F, CWIP Desc. EKC'!B49</f>
        <v>1070002</v>
      </c>
      <c r="C50" s="28" t="str">
        <f>+'Wrksht. F, CWIP Desc. EKC'!C49</f>
        <v>LEC0804804</v>
      </c>
      <c r="D50" s="1159">
        <v>87462.03</v>
      </c>
      <c r="E50" s="33">
        <f>+'Wrksht. F, CWIP Desc. EKC'!D49</f>
        <v>0</v>
      </c>
      <c r="F50" s="1158">
        <v>40057</v>
      </c>
      <c r="G50" s="1209">
        <v>40003</v>
      </c>
      <c r="H50" s="1159">
        <v>0</v>
      </c>
      <c r="I50" s="407">
        <f t="shared" si="0"/>
        <v>0</v>
      </c>
      <c r="J50" s="51"/>
    </row>
    <row r="51" spans="1:10">
      <c r="A51" s="239">
        <f t="shared" si="1"/>
        <v>40</v>
      </c>
      <c r="B51" s="30" t="str">
        <f>+'Wrksht. F, CWIP Desc. EKC'!B50</f>
        <v>1070002</v>
      </c>
      <c r="C51" s="28" t="str">
        <f>+'Wrksht. F, CWIP Desc. EKC'!C50</f>
        <v>LEC0805848</v>
      </c>
      <c r="D51" s="1159">
        <v>119524.01</v>
      </c>
      <c r="E51" s="33">
        <f>+'Wrksht. F, CWIP Desc. EKC'!D50</f>
        <v>0</v>
      </c>
      <c r="F51" s="1158">
        <v>40057</v>
      </c>
      <c r="G51" s="1158">
        <v>40134</v>
      </c>
      <c r="H51" s="1159">
        <v>0</v>
      </c>
      <c r="I51" s="407">
        <f t="shared" si="0"/>
        <v>0</v>
      </c>
      <c r="J51" s="51"/>
    </row>
    <row r="52" spans="1:10">
      <c r="A52" s="239">
        <f t="shared" si="1"/>
        <v>41</v>
      </c>
      <c r="B52" s="30" t="str">
        <f>+'Wrksht. F, CWIP Desc. EKC'!B51</f>
        <v>1070002</v>
      </c>
      <c r="C52" s="28" t="str">
        <f>+'Wrksht. F, CWIP Desc. EKC'!C51</f>
        <v>LEC0807184</v>
      </c>
      <c r="D52" s="1159">
        <v>0</v>
      </c>
      <c r="E52" s="33">
        <f>+'Wrksht. F, CWIP Desc. EKC'!D51</f>
        <v>0</v>
      </c>
      <c r="F52" s="1158">
        <v>40057</v>
      </c>
      <c r="G52" s="1159" t="s">
        <v>1069</v>
      </c>
      <c r="H52" s="1159">
        <v>0</v>
      </c>
      <c r="I52" s="407">
        <f t="shared" si="0"/>
        <v>0</v>
      </c>
      <c r="J52" s="51"/>
    </row>
    <row r="53" spans="1:10">
      <c r="A53" s="239">
        <f t="shared" si="1"/>
        <v>42</v>
      </c>
      <c r="B53" s="408" t="str">
        <f>+'Wrksht. F, CWIP Desc. EKC'!B52</f>
        <v>1070002</v>
      </c>
      <c r="C53" s="34" t="str">
        <f>+'Wrksht. F, CWIP Desc. EKC'!C52</f>
        <v>LEC0807190</v>
      </c>
      <c r="D53" s="1159">
        <v>0</v>
      </c>
      <c r="E53" s="33">
        <f>+'Wrksht. F, CWIP Desc. EKC'!D52</f>
        <v>0</v>
      </c>
      <c r="F53" s="1158">
        <v>40057</v>
      </c>
      <c r="G53" s="1159" t="s">
        <v>1069</v>
      </c>
      <c r="H53" s="1159">
        <v>0</v>
      </c>
      <c r="I53" s="407">
        <f t="shared" si="0"/>
        <v>0</v>
      </c>
      <c r="J53" s="51"/>
    </row>
    <row r="54" spans="1:10">
      <c r="A54" s="239">
        <f t="shared" si="1"/>
        <v>43</v>
      </c>
      <c r="B54" s="408" t="str">
        <f>+'Wrksht. F, CWIP Desc. EKC'!B53</f>
        <v>1070002</v>
      </c>
      <c r="C54" s="34" t="str">
        <f>+'Wrksht. F, CWIP Desc. EKC'!C53</f>
        <v>LEC0807191</v>
      </c>
      <c r="D54" s="1159">
        <v>0</v>
      </c>
      <c r="E54" s="33">
        <f>+'Wrksht. F, CWIP Desc. EKC'!D53</f>
        <v>0</v>
      </c>
      <c r="F54" s="1158">
        <v>40057</v>
      </c>
      <c r="G54" s="1159" t="s">
        <v>1069</v>
      </c>
      <c r="H54" s="1159">
        <v>0</v>
      </c>
      <c r="I54" s="407">
        <f t="shared" si="0"/>
        <v>0</v>
      </c>
      <c r="J54" s="51"/>
    </row>
    <row r="55" spans="1:10">
      <c r="A55" s="239">
        <f t="shared" si="1"/>
        <v>44</v>
      </c>
      <c r="B55" s="408" t="str">
        <f>+'Wrksht. F, CWIP Desc. EKC'!B54</f>
        <v>1070002</v>
      </c>
      <c r="C55" s="34" t="str">
        <f>+'Wrksht. F, CWIP Desc. EKC'!C54</f>
        <v>A30002</v>
      </c>
      <c r="D55" s="1159">
        <v>508.78</v>
      </c>
      <c r="E55" s="33">
        <f>+'Wrksht. F, CWIP Desc. EKC'!D54</f>
        <v>0</v>
      </c>
      <c r="F55" s="1158">
        <v>40057</v>
      </c>
      <c r="G55" s="1209">
        <v>39912</v>
      </c>
      <c r="H55" s="1159">
        <v>0</v>
      </c>
      <c r="I55" s="407">
        <f t="shared" si="0"/>
        <v>0</v>
      </c>
      <c r="J55" s="51"/>
    </row>
    <row r="56" spans="1:10">
      <c r="A56" s="239">
        <f t="shared" si="1"/>
        <v>45</v>
      </c>
      <c r="B56" s="408" t="str">
        <f>+'Wrksht. F, CWIP Desc. EKC'!B55</f>
        <v>1070002</v>
      </c>
      <c r="C56" s="34" t="str">
        <f>+'Wrksht. F, CWIP Desc. EKC'!C55</f>
        <v>EEC0800295</v>
      </c>
      <c r="D56" s="1159">
        <v>28547.08</v>
      </c>
      <c r="E56" s="33">
        <f>+'Wrksht. F, CWIP Desc. EKC'!D55</f>
        <v>0</v>
      </c>
      <c r="F56" s="1158">
        <v>40057</v>
      </c>
      <c r="G56" s="1209">
        <v>39881</v>
      </c>
      <c r="H56" s="1159">
        <v>0</v>
      </c>
      <c r="I56" s="407">
        <f t="shared" si="0"/>
        <v>0</v>
      </c>
      <c r="J56" s="51"/>
    </row>
    <row r="57" spans="1:10">
      <c r="A57" s="239">
        <f t="shared" si="1"/>
        <v>46</v>
      </c>
      <c r="B57" s="408" t="str">
        <f>+'Wrksht. F, CWIP Desc. EKC'!B56</f>
        <v>1070002</v>
      </c>
      <c r="C57" s="34" t="str">
        <f>+'Wrksht. F, CWIP Desc. EKC'!C56</f>
        <v>EEC0800678</v>
      </c>
      <c r="D57" s="1159">
        <v>43838.93</v>
      </c>
      <c r="E57" s="33">
        <f>+'Wrksht. F, CWIP Desc. EKC'!D56</f>
        <v>0</v>
      </c>
      <c r="F57" s="1158">
        <v>40057</v>
      </c>
      <c r="G57" s="1209">
        <v>39853</v>
      </c>
      <c r="H57" s="1159">
        <v>0</v>
      </c>
      <c r="I57" s="407">
        <f t="shared" si="0"/>
        <v>0</v>
      </c>
      <c r="J57" s="51"/>
    </row>
    <row r="58" spans="1:10">
      <c r="A58" s="239">
        <f t="shared" si="1"/>
        <v>47</v>
      </c>
      <c r="B58" s="30" t="str">
        <f>+'Wrksht. F, CWIP Desc. EKC'!B57</f>
        <v>1070002</v>
      </c>
      <c r="C58" s="28" t="str">
        <f>+'Wrksht. F, CWIP Desc. EKC'!C57</f>
        <v>EEC0804574</v>
      </c>
      <c r="D58" s="1159">
        <v>49916.65</v>
      </c>
      <c r="E58" s="33">
        <f>+'Wrksht. F, CWIP Desc. EKC'!D57</f>
        <v>0</v>
      </c>
      <c r="F58" s="1158">
        <v>40057</v>
      </c>
      <c r="G58" s="1209">
        <v>39881</v>
      </c>
      <c r="H58" s="1159">
        <v>0</v>
      </c>
      <c r="I58" s="407">
        <f t="shared" si="0"/>
        <v>0</v>
      </c>
      <c r="J58" s="51"/>
    </row>
    <row r="59" spans="1:10">
      <c r="A59" s="239">
        <f t="shared" si="1"/>
        <v>48</v>
      </c>
      <c r="B59" s="30" t="str">
        <f>+'Wrksht. F, CWIP Desc. EKC'!B58</f>
        <v>1070002</v>
      </c>
      <c r="C59" s="28" t="str">
        <f>+'Wrksht. F, CWIP Desc. EKC'!C58</f>
        <v>JEC0605973</v>
      </c>
      <c r="D59" s="1159">
        <v>2483350.94</v>
      </c>
      <c r="E59" s="33">
        <f>+'Wrksht. F, CWIP Desc. EKC'!D58</f>
        <v>0</v>
      </c>
      <c r="F59" s="1158">
        <v>40057</v>
      </c>
      <c r="G59" s="1209">
        <v>39912</v>
      </c>
      <c r="H59" s="1159">
        <v>0</v>
      </c>
      <c r="I59" s="407">
        <f t="shared" si="0"/>
        <v>0</v>
      </c>
      <c r="J59" s="51"/>
    </row>
    <row r="60" spans="1:10">
      <c r="A60" s="239">
        <f t="shared" si="1"/>
        <v>49</v>
      </c>
      <c r="B60" s="30" t="str">
        <f>+'Wrksht. F, CWIP Desc. EKC'!B59</f>
        <v>1070002</v>
      </c>
      <c r="C60" s="28" t="str">
        <f>+'Wrksht. F, CWIP Desc. EKC'!C59</f>
        <v>JEC0605975</v>
      </c>
      <c r="D60" s="1159">
        <v>2335154.86</v>
      </c>
      <c r="E60" s="33">
        <f>+'Wrksht. F, CWIP Desc. EKC'!D59</f>
        <v>0</v>
      </c>
      <c r="F60" s="1158">
        <v>40057</v>
      </c>
      <c r="G60" s="1209">
        <v>39822</v>
      </c>
      <c r="H60" s="1159">
        <v>0</v>
      </c>
      <c r="I60" s="407">
        <f t="shared" si="0"/>
        <v>0</v>
      </c>
      <c r="J60" s="51"/>
    </row>
    <row r="61" spans="1:10">
      <c r="A61" s="239">
        <f t="shared" si="1"/>
        <v>50</v>
      </c>
      <c r="B61" s="408" t="str">
        <f>+'Wrksht. F, CWIP Desc. EKC'!B60</f>
        <v>1070002</v>
      </c>
      <c r="C61" s="32" t="str">
        <f>+'Wrksht. F, CWIP Desc. EKC'!C60</f>
        <v>JEC0605977</v>
      </c>
      <c r="D61" s="1159">
        <v>3845745.33</v>
      </c>
      <c r="E61" s="35">
        <f>+'Wrksht. F, CWIP Desc. EKC'!D60</f>
        <v>0</v>
      </c>
      <c r="F61" s="1158">
        <v>40057</v>
      </c>
      <c r="G61" s="1209">
        <v>39853</v>
      </c>
      <c r="H61" s="1159">
        <v>0</v>
      </c>
      <c r="I61" s="407">
        <f t="shared" si="0"/>
        <v>0</v>
      </c>
      <c r="J61" s="51"/>
    </row>
    <row r="62" spans="1:10">
      <c r="A62" s="239">
        <f t="shared" si="1"/>
        <v>51</v>
      </c>
      <c r="B62" s="30" t="str">
        <f>+'Wrksht. F, CWIP Desc. EKC'!B61</f>
        <v>1070002</v>
      </c>
      <c r="C62" s="28" t="str">
        <f>+'Wrksht. F, CWIP Desc. EKC'!C61</f>
        <v>JEC0610127</v>
      </c>
      <c r="D62" s="1159">
        <v>0</v>
      </c>
      <c r="E62" s="33">
        <f>+'Wrksht. F, CWIP Desc. EKC'!D61</f>
        <v>0</v>
      </c>
      <c r="F62" s="1158">
        <v>40057</v>
      </c>
      <c r="G62" s="1209">
        <v>39933</v>
      </c>
      <c r="H62" s="1160">
        <v>0</v>
      </c>
      <c r="I62" s="407">
        <f t="shared" si="0"/>
        <v>0</v>
      </c>
      <c r="J62" s="51"/>
    </row>
    <row r="63" spans="1:10">
      <c r="A63" s="239">
        <f t="shared" si="1"/>
        <v>52</v>
      </c>
      <c r="B63" s="30" t="str">
        <f>+'Wrksht. F, CWIP Desc. EKC'!B62</f>
        <v>1070002</v>
      </c>
      <c r="C63" s="28" t="str">
        <f>+'Wrksht. F, CWIP Desc. EKC'!C62</f>
        <v>JEC0611677</v>
      </c>
      <c r="D63" s="1159">
        <v>-2913.25</v>
      </c>
      <c r="E63" s="33">
        <f>+'Wrksht. F, CWIP Desc. EKC'!D62</f>
        <v>0</v>
      </c>
      <c r="F63" s="1158">
        <v>40057</v>
      </c>
      <c r="G63" s="1159" t="s">
        <v>1069</v>
      </c>
      <c r="H63" s="1159">
        <v>0</v>
      </c>
      <c r="I63" s="407">
        <f t="shared" si="0"/>
        <v>0</v>
      </c>
      <c r="J63" s="51"/>
    </row>
    <row r="64" spans="1:10">
      <c r="A64" s="239">
        <f t="shared" si="1"/>
        <v>53</v>
      </c>
      <c r="B64" s="30" t="str">
        <f>+'Wrksht. F, CWIP Desc. EKC'!B63</f>
        <v>1070002</v>
      </c>
      <c r="C64" s="28" t="str">
        <f>+'Wrksht. F, CWIP Desc. EKC'!C63</f>
        <v>JEC0700624</v>
      </c>
      <c r="D64" s="1159">
        <v>2205.9899999999998</v>
      </c>
      <c r="E64" s="33">
        <f>+'Wrksht. F, CWIP Desc. EKC'!D63</f>
        <v>0</v>
      </c>
      <c r="F64" s="1158">
        <v>40057</v>
      </c>
      <c r="G64" s="1209">
        <v>39444</v>
      </c>
      <c r="H64" s="1159">
        <v>0</v>
      </c>
      <c r="I64" s="407">
        <f t="shared" si="0"/>
        <v>0</v>
      </c>
      <c r="J64" s="51"/>
    </row>
    <row r="65" spans="1:10">
      <c r="A65" s="239">
        <f t="shared" si="1"/>
        <v>54</v>
      </c>
      <c r="B65" s="408" t="str">
        <f>+'Wrksht. F, CWIP Desc. EKC'!B64</f>
        <v>1070002</v>
      </c>
      <c r="C65" s="34" t="str">
        <f>+'Wrksht. F, CWIP Desc. EKC'!C64</f>
        <v>JEC0701131</v>
      </c>
      <c r="D65" s="1159">
        <v>15770841.74</v>
      </c>
      <c r="E65" s="33">
        <f>+'Wrksht. F, CWIP Desc. EKC'!D64</f>
        <v>0</v>
      </c>
      <c r="F65" s="1158">
        <v>40057</v>
      </c>
      <c r="G65" s="1158">
        <v>41071</v>
      </c>
      <c r="H65" s="1159">
        <v>0</v>
      </c>
      <c r="I65" s="407">
        <f t="shared" si="0"/>
        <v>0</v>
      </c>
      <c r="J65" s="51"/>
    </row>
    <row r="66" spans="1:10">
      <c r="A66" s="239">
        <f t="shared" si="1"/>
        <v>55</v>
      </c>
      <c r="B66" s="408" t="str">
        <f>+'Wrksht. F, CWIP Desc. EKC'!B65</f>
        <v>1070002</v>
      </c>
      <c r="C66" s="34" t="str">
        <f>+'Wrksht. F, CWIP Desc. EKC'!C65</f>
        <v>JEC0701132</v>
      </c>
      <c r="D66" s="1159">
        <v>29991407</v>
      </c>
      <c r="E66" s="33">
        <f>+'Wrksht. F, CWIP Desc. EKC'!D65</f>
        <v>0</v>
      </c>
      <c r="F66" s="1158">
        <v>40057</v>
      </c>
      <c r="G66" s="1209">
        <v>39822</v>
      </c>
      <c r="H66" s="1159">
        <v>0</v>
      </c>
      <c r="I66" s="407">
        <f t="shared" si="0"/>
        <v>0</v>
      </c>
      <c r="J66" s="51"/>
    </row>
    <row r="67" spans="1:10">
      <c r="A67" s="239">
        <f t="shared" si="1"/>
        <v>56</v>
      </c>
      <c r="B67" s="36" t="str">
        <f>+'Wrksht. F, CWIP Desc. EKC'!B66</f>
        <v>1070002</v>
      </c>
      <c r="C67" s="37" t="str">
        <f>+'Wrksht. F, CWIP Desc. EKC'!C66</f>
        <v>JEC0704255</v>
      </c>
      <c r="D67" s="1159">
        <v>517232.48</v>
      </c>
      <c r="E67" s="33">
        <f>+'Wrksht. F, CWIP Desc. EKC'!D66</f>
        <v>0</v>
      </c>
      <c r="F67" s="1158">
        <v>40057</v>
      </c>
      <c r="G67" s="1209">
        <v>39515</v>
      </c>
      <c r="H67" s="1159">
        <v>0</v>
      </c>
      <c r="I67" s="407">
        <f t="shared" si="0"/>
        <v>0</v>
      </c>
      <c r="J67" s="51"/>
    </row>
    <row r="68" spans="1:10">
      <c r="A68" s="239">
        <f t="shared" si="1"/>
        <v>57</v>
      </c>
      <c r="B68" s="30" t="str">
        <f>+'Wrksht. F, CWIP Desc. EKC'!B67</f>
        <v>1070002</v>
      </c>
      <c r="C68" s="28" t="str">
        <f>+'Wrksht. F, CWIP Desc. EKC'!C67</f>
        <v xml:space="preserve">JEC0704873  </v>
      </c>
      <c r="D68" s="1159">
        <v>-7183.82</v>
      </c>
      <c r="E68" s="35">
        <f>+'Wrksht. F, CWIP Desc. EKC'!D67</f>
        <v>0</v>
      </c>
      <c r="F68" s="1158">
        <v>40057</v>
      </c>
      <c r="G68" s="1159" t="s">
        <v>1069</v>
      </c>
      <c r="H68" s="1159">
        <v>0</v>
      </c>
      <c r="I68" s="407">
        <f t="shared" si="0"/>
        <v>0</v>
      </c>
      <c r="J68" s="51"/>
    </row>
    <row r="69" spans="1:10">
      <c r="A69" s="239">
        <f t="shared" si="1"/>
        <v>58</v>
      </c>
      <c r="B69" s="30" t="str">
        <f>+'Wrksht. F, CWIP Desc. EKC'!B68</f>
        <v>1070002</v>
      </c>
      <c r="C69" s="28" t="str">
        <f>+'Wrksht. F, CWIP Desc. EKC'!C68</f>
        <v>JEC0706539</v>
      </c>
      <c r="D69" s="1159">
        <v>-4576.32</v>
      </c>
      <c r="E69" s="33">
        <f>+'Wrksht. F, CWIP Desc. EKC'!D68</f>
        <v>0</v>
      </c>
      <c r="F69" s="1158">
        <v>40057</v>
      </c>
      <c r="G69" s="1159" t="s">
        <v>1069</v>
      </c>
      <c r="H69" s="1159">
        <v>0</v>
      </c>
      <c r="I69" s="407">
        <f t="shared" si="0"/>
        <v>0</v>
      </c>
      <c r="J69" s="51"/>
    </row>
    <row r="70" spans="1:10">
      <c r="A70" s="239">
        <f t="shared" si="1"/>
        <v>59</v>
      </c>
      <c r="B70" s="408" t="str">
        <f>+'Wrksht. F, CWIP Desc. EKC'!B69</f>
        <v>1070002</v>
      </c>
      <c r="C70" s="34" t="str">
        <f>+'Wrksht. F, CWIP Desc. EKC'!C69</f>
        <v>JEC0706838</v>
      </c>
      <c r="D70" s="1159">
        <v>247606.82</v>
      </c>
      <c r="E70" s="33">
        <f>+'Wrksht. F, CWIP Desc. EKC'!D69</f>
        <v>0</v>
      </c>
      <c r="F70" s="1158">
        <v>40057</v>
      </c>
      <c r="G70" s="1209">
        <v>39822</v>
      </c>
      <c r="H70" s="1159">
        <v>0</v>
      </c>
      <c r="I70" s="407">
        <f t="shared" si="0"/>
        <v>0</v>
      </c>
      <c r="J70" s="51"/>
    </row>
    <row r="71" spans="1:10">
      <c r="A71" s="239">
        <f t="shared" si="1"/>
        <v>60</v>
      </c>
      <c r="B71" s="408" t="str">
        <f>+'Wrksht. F, CWIP Desc. EKC'!B70</f>
        <v>1070002</v>
      </c>
      <c r="C71" s="34" t="str">
        <f>+'Wrksht. F, CWIP Desc. EKC'!C70</f>
        <v>JEC0707476</v>
      </c>
      <c r="D71" s="1159">
        <v>156922.92000000001</v>
      </c>
      <c r="E71" s="33">
        <f>+'Wrksht. F, CWIP Desc. EKC'!D70</f>
        <v>0</v>
      </c>
      <c r="F71" s="1158">
        <v>40057</v>
      </c>
      <c r="G71" s="1209">
        <v>39822</v>
      </c>
      <c r="H71" s="1159">
        <v>0</v>
      </c>
      <c r="I71" s="407">
        <f t="shared" si="0"/>
        <v>0</v>
      </c>
      <c r="J71" s="51"/>
    </row>
    <row r="72" spans="1:10">
      <c r="A72" s="239">
        <f t="shared" si="1"/>
        <v>61</v>
      </c>
      <c r="B72" s="30" t="str">
        <f>+'Wrksht. F, CWIP Desc. EKC'!B71</f>
        <v>1070002</v>
      </c>
      <c r="C72" s="28" t="str">
        <f>+'Wrksht. F, CWIP Desc. EKC'!C71</f>
        <v>JEC0709637</v>
      </c>
      <c r="D72" s="1159">
        <v>11519790.560000001</v>
      </c>
      <c r="E72" s="33">
        <f>+'Wrksht. F, CWIP Desc. EKC'!D71</f>
        <v>0</v>
      </c>
      <c r="F72" s="1158">
        <v>40057</v>
      </c>
      <c r="G72" s="1209">
        <v>39822</v>
      </c>
      <c r="H72" s="1159">
        <v>0</v>
      </c>
      <c r="I72" s="407">
        <f t="shared" si="0"/>
        <v>0</v>
      </c>
      <c r="J72" s="51"/>
    </row>
    <row r="73" spans="1:10">
      <c r="A73" s="239">
        <f t="shared" si="1"/>
        <v>62</v>
      </c>
      <c r="B73" s="30" t="str">
        <f>+'Wrksht. F, CWIP Desc. EKC'!B72</f>
        <v>1070002</v>
      </c>
      <c r="C73" s="28" t="str">
        <f>+'Wrksht. F, CWIP Desc. EKC'!C72</f>
        <v>JEC0713055</v>
      </c>
      <c r="D73" s="1159">
        <v>204887.54</v>
      </c>
      <c r="E73" s="33">
        <f>+'Wrksht. F, CWIP Desc. EKC'!D72</f>
        <v>0</v>
      </c>
      <c r="F73" s="1158">
        <v>40057</v>
      </c>
      <c r="G73" s="1209">
        <v>39822</v>
      </c>
      <c r="H73" s="1159">
        <v>0</v>
      </c>
      <c r="I73" s="407">
        <f t="shared" si="0"/>
        <v>0</v>
      </c>
      <c r="J73" s="51"/>
    </row>
    <row r="74" spans="1:10">
      <c r="A74" s="239">
        <f t="shared" si="1"/>
        <v>63</v>
      </c>
      <c r="B74" s="30" t="str">
        <f>+'Wrksht. F, CWIP Desc. EKC'!B73</f>
        <v>1070002</v>
      </c>
      <c r="C74" s="28" t="str">
        <f>+'Wrksht. F, CWIP Desc. EKC'!C73</f>
        <v>JEC0713521</v>
      </c>
      <c r="D74" s="1159">
        <v>292484.40000000002</v>
      </c>
      <c r="E74" s="33">
        <f>+'Wrksht. F, CWIP Desc. EKC'!D73</f>
        <v>0</v>
      </c>
      <c r="F74" s="1158">
        <v>40057</v>
      </c>
      <c r="G74" s="1209">
        <v>39822</v>
      </c>
      <c r="H74" s="1159">
        <v>0</v>
      </c>
      <c r="I74" s="407">
        <f t="shared" si="0"/>
        <v>0</v>
      </c>
      <c r="J74" s="51"/>
    </row>
    <row r="75" spans="1:10">
      <c r="A75" s="239">
        <f t="shared" si="1"/>
        <v>64</v>
      </c>
      <c r="B75" s="36" t="str">
        <f>+'Wrksht. F, CWIP Desc. EKC'!B74</f>
        <v>1070002</v>
      </c>
      <c r="C75" s="37" t="str">
        <f>+'Wrksht. F, CWIP Desc. EKC'!C74</f>
        <v>JEC0713578</v>
      </c>
      <c r="D75" s="1159">
        <v>179119.65</v>
      </c>
      <c r="E75" s="33">
        <f>+'Wrksht. F, CWIP Desc. EKC'!D74</f>
        <v>0</v>
      </c>
      <c r="F75" s="1158">
        <v>40057</v>
      </c>
      <c r="G75" s="1209">
        <v>39822</v>
      </c>
      <c r="H75" s="1159">
        <v>0</v>
      </c>
      <c r="I75" s="407">
        <f t="shared" si="0"/>
        <v>0</v>
      </c>
      <c r="J75" s="51"/>
    </row>
    <row r="76" spans="1:10">
      <c r="A76" s="239">
        <f t="shared" si="1"/>
        <v>65</v>
      </c>
      <c r="B76" s="408" t="str">
        <f>+'Wrksht. F, CWIP Desc. EKC'!B75</f>
        <v>1070002</v>
      </c>
      <c r="C76" s="32" t="str">
        <f>+'Wrksht. F, CWIP Desc. EKC'!C75</f>
        <v>JEC0716993</v>
      </c>
      <c r="D76" s="1159">
        <v>3243.13</v>
      </c>
      <c r="E76" s="33">
        <f>+'Wrksht. F, CWIP Desc. EKC'!D75</f>
        <v>0</v>
      </c>
      <c r="F76" s="1158">
        <v>40057</v>
      </c>
      <c r="G76" s="1209">
        <v>39607</v>
      </c>
      <c r="H76" s="1159">
        <v>0</v>
      </c>
      <c r="I76" s="407">
        <f t="shared" ref="I76:I126" si="2">IF((E76-H76)&lt;=1000000,-H76,E76-H76)</f>
        <v>0</v>
      </c>
      <c r="J76" s="51"/>
    </row>
    <row r="77" spans="1:10">
      <c r="A77" s="239">
        <f t="shared" si="1"/>
        <v>66</v>
      </c>
      <c r="B77" s="36" t="str">
        <f>+'Wrksht. F, CWIP Desc. EKC'!B76</f>
        <v>1070002</v>
      </c>
      <c r="C77" s="37" t="str">
        <f>+'Wrksht. F, CWIP Desc. EKC'!C76</f>
        <v>JEC0719212</v>
      </c>
      <c r="D77" s="1159">
        <v>1316863.97</v>
      </c>
      <c r="E77" s="33">
        <f>+'Wrksht. F, CWIP Desc. EKC'!D76</f>
        <v>0</v>
      </c>
      <c r="F77" s="1158">
        <v>40057</v>
      </c>
      <c r="G77" s="1209">
        <v>39822</v>
      </c>
      <c r="H77" s="1159">
        <v>0</v>
      </c>
      <c r="I77" s="407">
        <f t="shared" si="2"/>
        <v>0</v>
      </c>
      <c r="J77" s="51"/>
    </row>
    <row r="78" spans="1:10">
      <c r="A78" s="239">
        <f t="shared" si="1"/>
        <v>67</v>
      </c>
      <c r="B78" s="36" t="str">
        <f>+'Wrksht. F, CWIP Desc. EKC'!B77</f>
        <v>1070002</v>
      </c>
      <c r="C78" s="37" t="str">
        <f>+'Wrksht. F, CWIP Desc. EKC'!C77</f>
        <v>JEC0719280</v>
      </c>
      <c r="D78" s="1159">
        <v>87093.13</v>
      </c>
      <c r="E78" s="33">
        <f>+'Wrksht. F, CWIP Desc. EKC'!D77</f>
        <v>0</v>
      </c>
      <c r="F78" s="1158">
        <v>40057</v>
      </c>
      <c r="G78" s="1209">
        <v>39822</v>
      </c>
      <c r="H78" s="1159">
        <v>0</v>
      </c>
      <c r="I78" s="407">
        <f t="shared" si="2"/>
        <v>0</v>
      </c>
      <c r="J78" s="51"/>
    </row>
    <row r="79" spans="1:10">
      <c r="A79" s="239">
        <f t="shared" ref="A79:A119" si="3">A78+1</f>
        <v>68</v>
      </c>
      <c r="B79" s="36" t="str">
        <f>+'Wrksht. F, CWIP Desc. EKC'!B78</f>
        <v>1070002</v>
      </c>
      <c r="C79" s="37" t="str">
        <f>+'Wrksht. F, CWIP Desc. EKC'!C78</f>
        <v>JEC0720833</v>
      </c>
      <c r="D79" s="1159">
        <v>606561.96</v>
      </c>
      <c r="E79" s="33">
        <f>+'Wrksht. F, CWIP Desc. EKC'!D78</f>
        <v>0</v>
      </c>
      <c r="F79" s="1158">
        <v>40057</v>
      </c>
      <c r="G79" s="1209">
        <v>39822</v>
      </c>
      <c r="H79" s="1159">
        <v>0</v>
      </c>
      <c r="I79" s="407">
        <f t="shared" si="2"/>
        <v>0</v>
      </c>
      <c r="J79" s="51"/>
    </row>
    <row r="80" spans="1:10">
      <c r="A80" s="239">
        <f t="shared" si="3"/>
        <v>69</v>
      </c>
      <c r="B80" s="36" t="str">
        <f>+'Wrksht. F, CWIP Desc. EKC'!B79</f>
        <v>1070002</v>
      </c>
      <c r="C80" s="37" t="str">
        <f>+'Wrksht. F, CWIP Desc. EKC'!C79</f>
        <v>JEC0800819</v>
      </c>
      <c r="D80" s="1159">
        <v>595409.25</v>
      </c>
      <c r="E80" s="33">
        <f>+'Wrksht. F, CWIP Desc. EKC'!D79</f>
        <v>0</v>
      </c>
      <c r="F80" s="1158">
        <v>40057</v>
      </c>
      <c r="G80" s="1158">
        <v>39884</v>
      </c>
      <c r="H80" s="1159">
        <v>0</v>
      </c>
      <c r="I80" s="407">
        <f t="shared" si="2"/>
        <v>0</v>
      </c>
      <c r="J80" s="51"/>
    </row>
    <row r="81" spans="1:10">
      <c r="A81" s="239">
        <f t="shared" si="3"/>
        <v>70</v>
      </c>
      <c r="B81" s="36" t="str">
        <f>+'Wrksht. F, CWIP Desc. EKC'!B80</f>
        <v>1070002</v>
      </c>
      <c r="C81" s="37" t="str">
        <f>+'Wrksht. F, CWIP Desc. EKC'!C80</f>
        <v>JEC0800940</v>
      </c>
      <c r="D81" s="1159">
        <v>986856.98</v>
      </c>
      <c r="E81" s="33">
        <f>+'Wrksht. F, CWIP Desc. EKC'!D80</f>
        <v>0</v>
      </c>
      <c r="F81" s="1158">
        <v>40057</v>
      </c>
      <c r="G81" s="1209">
        <v>39822</v>
      </c>
      <c r="H81" s="1159">
        <v>0</v>
      </c>
      <c r="I81" s="407">
        <f t="shared" si="2"/>
        <v>0</v>
      </c>
      <c r="J81" s="51"/>
    </row>
    <row r="82" spans="1:10">
      <c r="A82" s="239">
        <f t="shared" si="3"/>
        <v>71</v>
      </c>
      <c r="B82" s="36" t="str">
        <f>+'Wrksht. F, CWIP Desc. EKC'!B81</f>
        <v>1070002</v>
      </c>
      <c r="C82" s="37" t="str">
        <f>+'Wrksht. F, CWIP Desc. EKC'!C81</f>
        <v>JEC0801636</v>
      </c>
      <c r="D82" s="1159">
        <v>3514232.38</v>
      </c>
      <c r="E82" s="33">
        <f>+'Wrksht. F, CWIP Desc. EKC'!D81</f>
        <v>0</v>
      </c>
      <c r="F82" s="1158">
        <v>40057</v>
      </c>
      <c r="G82" s="1209">
        <v>39822</v>
      </c>
      <c r="H82" s="1159">
        <v>0</v>
      </c>
      <c r="I82" s="407">
        <f t="shared" si="2"/>
        <v>0</v>
      </c>
      <c r="J82" s="51"/>
    </row>
    <row r="83" spans="1:10">
      <c r="A83" s="239">
        <f t="shared" si="3"/>
        <v>72</v>
      </c>
      <c r="B83" s="36" t="str">
        <f>+'Wrksht. F, CWIP Desc. EKC'!B82</f>
        <v>1070002</v>
      </c>
      <c r="C83" s="37" t="str">
        <f>+'Wrksht. F, CWIP Desc. EKC'!C82</f>
        <v>JEC0802554</v>
      </c>
      <c r="D83" s="1159">
        <v>89325.119999999995</v>
      </c>
      <c r="E83" s="33">
        <f>+'Wrksht. F, CWIP Desc. EKC'!D82</f>
        <v>0</v>
      </c>
      <c r="F83" s="1158">
        <v>40057</v>
      </c>
      <c r="G83" s="1209">
        <v>39853</v>
      </c>
      <c r="H83" s="1159">
        <v>0</v>
      </c>
      <c r="I83" s="407">
        <f t="shared" si="2"/>
        <v>0</v>
      </c>
      <c r="J83" s="51"/>
    </row>
    <row r="84" spans="1:10">
      <c r="A84" s="239">
        <f t="shared" si="3"/>
        <v>73</v>
      </c>
      <c r="B84" s="36" t="str">
        <f>+'Wrksht. F, CWIP Desc. EKC'!B83</f>
        <v>1070002</v>
      </c>
      <c r="C84" s="37" t="str">
        <f>+'Wrksht. F, CWIP Desc. EKC'!C83</f>
        <v>JEC0802555</v>
      </c>
      <c r="D84" s="1159">
        <v>28101</v>
      </c>
      <c r="E84" s="33">
        <f>+'Wrksht. F, CWIP Desc. EKC'!D83</f>
        <v>0</v>
      </c>
      <c r="F84" s="1158">
        <v>40057</v>
      </c>
      <c r="G84" s="1209">
        <v>39822</v>
      </c>
      <c r="H84" s="1159">
        <v>0</v>
      </c>
      <c r="I84" s="407">
        <f t="shared" si="2"/>
        <v>0</v>
      </c>
      <c r="J84" s="51"/>
    </row>
    <row r="85" spans="1:10">
      <c r="A85" s="239">
        <f t="shared" si="3"/>
        <v>74</v>
      </c>
      <c r="B85" s="30" t="str">
        <f>+'Wrksht. F, CWIP Desc. EKC'!B84</f>
        <v>1070002</v>
      </c>
      <c r="C85" s="28" t="str">
        <f>+'Wrksht. F, CWIP Desc. EKC'!C84</f>
        <v>JEC0802916</v>
      </c>
      <c r="D85" s="1159">
        <v>0</v>
      </c>
      <c r="E85" s="33">
        <f>+'Wrksht. F, CWIP Desc. EKC'!D84</f>
        <v>0</v>
      </c>
      <c r="F85" s="1158">
        <v>40057</v>
      </c>
      <c r="G85" s="1159" t="s">
        <v>1069</v>
      </c>
      <c r="H85" s="1159">
        <v>0</v>
      </c>
      <c r="I85" s="407">
        <f t="shared" si="2"/>
        <v>0</v>
      </c>
      <c r="J85" s="51"/>
    </row>
    <row r="86" spans="1:10">
      <c r="A86" s="239">
        <f t="shared" si="3"/>
        <v>75</v>
      </c>
      <c r="B86" s="30" t="str">
        <f>+'Wrksht. F, CWIP Desc. EKC'!B85</f>
        <v>1070002</v>
      </c>
      <c r="C86" s="28" t="str">
        <f>+'Wrksht. F, CWIP Desc. EKC'!C85</f>
        <v>JEC0806089</v>
      </c>
      <c r="D86" s="1159">
        <v>0</v>
      </c>
      <c r="E86" s="33">
        <f>+'Wrksht. F, CWIP Desc. EKC'!D85</f>
        <v>0</v>
      </c>
      <c r="F86" s="1158">
        <v>40057</v>
      </c>
      <c r="G86" s="1159" t="s">
        <v>1069</v>
      </c>
      <c r="H86" s="1159">
        <v>0</v>
      </c>
      <c r="I86" s="407">
        <f t="shared" si="2"/>
        <v>0</v>
      </c>
      <c r="J86" s="51"/>
    </row>
    <row r="87" spans="1:10">
      <c r="A87" s="239">
        <f t="shared" si="3"/>
        <v>76</v>
      </c>
      <c r="B87" s="36" t="str">
        <f>+'Wrksht. F, CWIP Desc. EKC'!B86</f>
        <v>1070002</v>
      </c>
      <c r="C87" s="37" t="str">
        <f>+'Wrksht. F, CWIP Desc. EKC'!C86</f>
        <v>JEC0806112</v>
      </c>
      <c r="D87" s="1159">
        <v>199993.87</v>
      </c>
      <c r="E87" s="33">
        <f>+'Wrksht. F, CWIP Desc. EKC'!D86</f>
        <v>0</v>
      </c>
      <c r="F87" s="1158">
        <v>40057</v>
      </c>
      <c r="G87" s="1158">
        <v>40165</v>
      </c>
      <c r="H87" s="1159">
        <v>0</v>
      </c>
      <c r="I87" s="407">
        <f t="shared" si="2"/>
        <v>0</v>
      </c>
      <c r="J87" s="51"/>
    </row>
    <row r="88" spans="1:10">
      <c r="A88" s="239">
        <f t="shared" si="3"/>
        <v>77</v>
      </c>
      <c r="B88" s="36" t="str">
        <f>+'Wrksht. F, CWIP Desc. EKC'!B87</f>
        <v>1070002</v>
      </c>
      <c r="C88" s="37" t="str">
        <f>+'Wrksht. F, CWIP Desc. EKC'!C87</f>
        <v>JEC0806127</v>
      </c>
      <c r="D88" s="1159">
        <v>183132.21</v>
      </c>
      <c r="E88" s="33">
        <f>+'Wrksht. F, CWIP Desc. EKC'!D87</f>
        <v>0</v>
      </c>
      <c r="F88" s="1158">
        <v>40057</v>
      </c>
      <c r="G88" s="1209">
        <v>39822</v>
      </c>
      <c r="H88" s="1159">
        <v>0</v>
      </c>
      <c r="I88" s="407">
        <f t="shared" si="2"/>
        <v>0</v>
      </c>
      <c r="J88" s="51"/>
    </row>
    <row r="89" spans="1:10">
      <c r="A89" s="239">
        <f t="shared" si="3"/>
        <v>78</v>
      </c>
      <c r="B89" s="36" t="str">
        <f>+'Wrksht. F, CWIP Desc. EKC'!B88</f>
        <v>1070002</v>
      </c>
      <c r="C89" s="37" t="str">
        <f>+'Wrksht. F, CWIP Desc. EKC'!C88</f>
        <v>JEC0806734</v>
      </c>
      <c r="D89" s="1159">
        <v>433745.31</v>
      </c>
      <c r="E89" s="33">
        <f>+'Wrksht. F, CWIP Desc. EKC'!D88</f>
        <v>0</v>
      </c>
      <c r="F89" s="1158">
        <v>40057</v>
      </c>
      <c r="G89" s="1209">
        <v>39822</v>
      </c>
      <c r="H89" s="1159">
        <v>0</v>
      </c>
      <c r="I89" s="407">
        <f t="shared" si="2"/>
        <v>0</v>
      </c>
      <c r="J89" s="51"/>
    </row>
    <row r="90" spans="1:10">
      <c r="A90" s="239">
        <f t="shared" si="3"/>
        <v>79</v>
      </c>
      <c r="B90" s="36" t="str">
        <f>+'Wrksht. F, CWIP Desc. EKC'!B89</f>
        <v>1070002</v>
      </c>
      <c r="C90" s="37" t="str">
        <f>+'Wrksht. F, CWIP Desc. EKC'!C89</f>
        <v>JEC0807532</v>
      </c>
      <c r="D90" s="1159">
        <v>0</v>
      </c>
      <c r="E90" s="33">
        <f>+'Wrksht. F, CWIP Desc. EKC'!D89</f>
        <v>0</v>
      </c>
      <c r="F90" s="1158">
        <v>40057</v>
      </c>
      <c r="G90" s="1159" t="s">
        <v>1069</v>
      </c>
      <c r="H90" s="1159">
        <v>0</v>
      </c>
      <c r="I90" s="407">
        <f t="shared" si="2"/>
        <v>0</v>
      </c>
      <c r="J90" s="51"/>
    </row>
    <row r="91" spans="1:10">
      <c r="A91" s="239">
        <f t="shared" si="3"/>
        <v>80</v>
      </c>
      <c r="B91" s="36" t="str">
        <f>+'Wrksht. F, CWIP Desc. EKC'!B90</f>
        <v>1070002</v>
      </c>
      <c r="C91" s="37" t="str">
        <f>+'Wrksht. F, CWIP Desc. EKC'!C90</f>
        <v>JEC0809051</v>
      </c>
      <c r="D91" s="1159">
        <v>18914.939999999999</v>
      </c>
      <c r="E91" s="33">
        <f>+'Wrksht. F, CWIP Desc. EKC'!D90</f>
        <v>0</v>
      </c>
      <c r="F91" s="1158">
        <v>40057</v>
      </c>
      <c r="G91" s="1209">
        <v>39822</v>
      </c>
      <c r="H91" s="1159">
        <v>0</v>
      </c>
      <c r="I91" s="407">
        <f t="shared" si="2"/>
        <v>0</v>
      </c>
      <c r="J91" s="51"/>
    </row>
    <row r="92" spans="1:10">
      <c r="A92" s="239">
        <f t="shared" si="3"/>
        <v>81</v>
      </c>
      <c r="B92" s="36" t="str">
        <f>+'Wrksht. F, CWIP Desc. EKC'!B91</f>
        <v>1070002</v>
      </c>
      <c r="C92" s="37" t="str">
        <f>+'Wrksht. F, CWIP Desc. EKC'!C91</f>
        <v>JEC0810415</v>
      </c>
      <c r="D92" s="1159">
        <v>7661.78</v>
      </c>
      <c r="E92" s="33">
        <f>+'Wrksht. F, CWIP Desc. EKC'!D91</f>
        <v>0</v>
      </c>
      <c r="F92" s="1158">
        <v>40057</v>
      </c>
      <c r="G92" s="1209">
        <v>39822</v>
      </c>
      <c r="H92" s="1159">
        <v>0</v>
      </c>
      <c r="I92" s="407">
        <f t="shared" si="2"/>
        <v>0</v>
      </c>
      <c r="J92" s="51"/>
    </row>
    <row r="93" spans="1:10">
      <c r="A93" s="239">
        <f t="shared" si="3"/>
        <v>82</v>
      </c>
      <c r="B93" s="36" t="str">
        <f>+'Wrksht. F, CWIP Desc. EKC'!B92</f>
        <v>1070002</v>
      </c>
      <c r="C93" s="37" t="str">
        <f>+'Wrksht. F, CWIP Desc. EKC'!C92</f>
        <v>JEC0810709</v>
      </c>
      <c r="D93" s="1159">
        <v>9759.4</v>
      </c>
      <c r="E93" s="33">
        <f>+'Wrksht. F, CWIP Desc. EKC'!D92</f>
        <v>0</v>
      </c>
      <c r="F93" s="1158">
        <v>40057</v>
      </c>
      <c r="G93" s="1209">
        <v>39822</v>
      </c>
      <c r="H93" s="1159">
        <v>0</v>
      </c>
      <c r="I93" s="407">
        <f t="shared" si="2"/>
        <v>0</v>
      </c>
      <c r="J93" s="51"/>
    </row>
    <row r="94" spans="1:10">
      <c r="A94" s="239">
        <f t="shared" si="3"/>
        <v>83</v>
      </c>
      <c r="B94" s="36" t="str">
        <f>+'Wrksht. F, CWIP Desc. EKC'!B93</f>
        <v>1070002</v>
      </c>
      <c r="C94" s="37" t="str">
        <f>+'Wrksht. F, CWIP Desc. EKC'!C93</f>
        <v>JEC0810728</v>
      </c>
      <c r="D94" s="1159">
        <v>240648.46</v>
      </c>
      <c r="E94" s="33">
        <f>+'Wrksht. F, CWIP Desc. EKC'!D93</f>
        <v>0</v>
      </c>
      <c r="F94" s="1158">
        <v>40057</v>
      </c>
      <c r="G94" s="1209">
        <v>39822</v>
      </c>
      <c r="H94" s="1159">
        <v>0</v>
      </c>
      <c r="I94" s="407">
        <f t="shared" si="2"/>
        <v>0</v>
      </c>
      <c r="J94" s="51"/>
    </row>
    <row r="95" spans="1:10">
      <c r="A95" s="239">
        <f t="shared" si="3"/>
        <v>84</v>
      </c>
      <c r="B95" s="36" t="str">
        <f>+'Wrksht. F, CWIP Desc. EKC'!B94</f>
        <v>1070002</v>
      </c>
      <c r="C95" s="37" t="str">
        <f>+'Wrksht. F, CWIP Desc. EKC'!C94</f>
        <v>JEC0812008</v>
      </c>
      <c r="D95" s="1159">
        <v>45401.99</v>
      </c>
      <c r="E95" s="33">
        <f>+'Wrksht. F, CWIP Desc. EKC'!D94</f>
        <v>0</v>
      </c>
      <c r="F95" s="1158">
        <v>40057</v>
      </c>
      <c r="G95" s="1209">
        <v>39822</v>
      </c>
      <c r="H95" s="1159">
        <v>0</v>
      </c>
      <c r="I95" s="407">
        <f t="shared" si="2"/>
        <v>0</v>
      </c>
      <c r="J95" s="51"/>
    </row>
    <row r="96" spans="1:10">
      <c r="A96" s="239">
        <f t="shared" si="3"/>
        <v>85</v>
      </c>
      <c r="B96" s="36" t="str">
        <f>+'Wrksht. F, CWIP Desc. EKC'!B95</f>
        <v>1070002</v>
      </c>
      <c r="C96" s="37" t="str">
        <f>+'Wrksht. F, CWIP Desc. EKC'!C95</f>
        <v>JEC0812402</v>
      </c>
      <c r="D96" s="1159">
        <v>87871.22</v>
      </c>
      <c r="E96" s="33">
        <f>+'Wrksht. F, CWIP Desc. EKC'!D95</f>
        <v>0</v>
      </c>
      <c r="F96" s="1158">
        <v>40057</v>
      </c>
      <c r="G96" s="1209">
        <v>39822</v>
      </c>
      <c r="H96" s="1159">
        <v>0</v>
      </c>
      <c r="I96" s="407">
        <f t="shared" si="2"/>
        <v>0</v>
      </c>
      <c r="J96" s="51"/>
    </row>
    <row r="97" spans="1:10">
      <c r="A97" s="239">
        <f t="shared" si="3"/>
        <v>86</v>
      </c>
      <c r="B97" s="36" t="str">
        <f>+'Wrksht. F, CWIP Desc. EKC'!B96</f>
        <v>1070002</v>
      </c>
      <c r="C97" s="37" t="str">
        <f>+'Wrksht. F, CWIP Desc. EKC'!C96</f>
        <v>JEC0813049</v>
      </c>
      <c r="D97" s="1159">
        <v>92136.9</v>
      </c>
      <c r="E97" s="33">
        <f>+'Wrksht. F, CWIP Desc. EKC'!D96</f>
        <v>0</v>
      </c>
      <c r="F97" s="1158">
        <v>40057</v>
      </c>
      <c r="G97" s="1209">
        <v>39853</v>
      </c>
      <c r="H97" s="1159">
        <v>0</v>
      </c>
      <c r="I97" s="407">
        <f t="shared" si="2"/>
        <v>0</v>
      </c>
      <c r="J97" s="51"/>
    </row>
    <row r="98" spans="1:10">
      <c r="A98" s="239">
        <f t="shared" si="3"/>
        <v>87</v>
      </c>
      <c r="B98" s="36" t="str">
        <f>+'Wrksht. F, CWIP Desc. EKC'!B97</f>
        <v>1070002</v>
      </c>
      <c r="C98" s="37" t="str">
        <f>+'Wrksht. F, CWIP Desc. EKC'!C97</f>
        <v>JEC0814618</v>
      </c>
      <c r="D98" s="1159">
        <v>8043.24</v>
      </c>
      <c r="E98" s="33">
        <f>+'Wrksht. F, CWIP Desc. EKC'!D97</f>
        <v>0</v>
      </c>
      <c r="F98" s="1158">
        <v>40057</v>
      </c>
      <c r="G98" s="1209">
        <v>39822</v>
      </c>
      <c r="H98" s="1159">
        <v>0</v>
      </c>
      <c r="I98" s="407">
        <f t="shared" si="2"/>
        <v>0</v>
      </c>
      <c r="J98" s="51"/>
    </row>
    <row r="99" spans="1:10">
      <c r="A99" s="239">
        <f t="shared" si="3"/>
        <v>88</v>
      </c>
      <c r="B99" s="36" t="str">
        <f>+'Wrksht. F, CWIP Desc. EKC'!B98</f>
        <v>1070002</v>
      </c>
      <c r="C99" s="37" t="str">
        <f>+'Wrksht. F, CWIP Desc. EKC'!C98</f>
        <v>JEC0818019</v>
      </c>
      <c r="D99" s="1159">
        <v>49.46</v>
      </c>
      <c r="E99" s="33">
        <f>+'Wrksht. F, CWIP Desc. EKC'!D98</f>
        <v>0</v>
      </c>
      <c r="F99" s="1158">
        <v>40057</v>
      </c>
      <c r="G99" s="1209">
        <v>39760</v>
      </c>
      <c r="H99" s="1159">
        <v>0</v>
      </c>
      <c r="I99" s="407">
        <f t="shared" si="2"/>
        <v>0</v>
      </c>
      <c r="J99" s="51"/>
    </row>
    <row r="100" spans="1:10">
      <c r="A100" s="239">
        <f t="shared" si="3"/>
        <v>89</v>
      </c>
      <c r="B100" s="36" t="str">
        <f>+'Wrksht. F, CWIP Desc. EKC'!B99</f>
        <v>1070002</v>
      </c>
      <c r="C100" s="37" t="str">
        <f>+'Wrksht. F, CWIP Desc. EKC'!C99</f>
        <v>JEC0818640</v>
      </c>
      <c r="D100" s="1159">
        <v>449297.99</v>
      </c>
      <c r="E100" s="33">
        <f>+'Wrksht. F, CWIP Desc. EKC'!D99</f>
        <v>0</v>
      </c>
      <c r="F100" s="1158">
        <v>40057</v>
      </c>
      <c r="G100" s="1158">
        <v>40086</v>
      </c>
      <c r="H100" s="1159">
        <v>0</v>
      </c>
      <c r="I100" s="407">
        <f t="shared" si="2"/>
        <v>0</v>
      </c>
      <c r="J100" s="51"/>
    </row>
    <row r="101" spans="1:10">
      <c r="A101" s="239">
        <f t="shared" si="3"/>
        <v>90</v>
      </c>
      <c r="B101" s="36" t="str">
        <f>+'Wrksht. F, CWIP Desc. EKC'!B100</f>
        <v>1070002</v>
      </c>
      <c r="C101" s="37" t="str">
        <f>+'Wrksht. F, CWIP Desc. EKC'!C100</f>
        <v>JEC0818707</v>
      </c>
      <c r="D101" s="1159">
        <v>26508.55</v>
      </c>
      <c r="E101" s="33">
        <f>+'Wrksht. F, CWIP Desc. EKC'!D100</f>
        <v>0</v>
      </c>
      <c r="F101" s="1158">
        <v>40057</v>
      </c>
      <c r="G101" s="1159" t="s">
        <v>1069</v>
      </c>
      <c r="H101" s="1159">
        <v>0</v>
      </c>
      <c r="I101" s="407">
        <f t="shared" si="2"/>
        <v>0</v>
      </c>
      <c r="J101" s="51"/>
    </row>
    <row r="102" spans="1:10">
      <c r="A102" s="239">
        <f t="shared" si="3"/>
        <v>91</v>
      </c>
      <c r="B102" s="36" t="str">
        <f>+'Wrksht. F, CWIP Desc. EKC'!B101</f>
        <v>1070002</v>
      </c>
      <c r="C102" s="37" t="str">
        <f>+'Wrksht. F, CWIP Desc. EKC'!C101</f>
        <v>JEC0818835</v>
      </c>
      <c r="D102" s="1159">
        <v>278.16000000000003</v>
      </c>
      <c r="E102" s="33">
        <f>+'Wrksht. F, CWIP Desc. EKC'!D101</f>
        <v>0</v>
      </c>
      <c r="F102" s="1158">
        <v>40057</v>
      </c>
      <c r="G102" s="1210" t="s">
        <v>1069</v>
      </c>
      <c r="H102" s="1159">
        <v>0</v>
      </c>
      <c r="I102" s="407">
        <f t="shared" si="2"/>
        <v>0</v>
      </c>
      <c r="J102" s="51"/>
    </row>
    <row r="103" spans="1:10">
      <c r="A103" s="239">
        <f t="shared" si="3"/>
        <v>92</v>
      </c>
      <c r="B103" s="36" t="str">
        <f>+'Wrksht. F, CWIP Desc. EKC'!B102</f>
        <v>1070002</v>
      </c>
      <c r="C103" s="37" t="str">
        <f>+'Wrksht. F, CWIP Desc. EKC'!C102</f>
        <v>JEC0819882</v>
      </c>
      <c r="D103" s="1159">
        <v>43388637.240000002</v>
      </c>
      <c r="E103" s="33">
        <f>+'Wrksht. F, CWIP Desc. EKC'!D102</f>
        <v>0</v>
      </c>
      <c r="F103" s="1158">
        <v>40057</v>
      </c>
      <c r="G103" s="1209">
        <v>39853</v>
      </c>
      <c r="H103" s="1159">
        <v>0</v>
      </c>
      <c r="I103" s="407">
        <f t="shared" si="2"/>
        <v>0</v>
      </c>
      <c r="J103" s="51"/>
    </row>
    <row r="104" spans="1:10">
      <c r="A104" s="239">
        <f t="shared" si="3"/>
        <v>93</v>
      </c>
      <c r="B104" s="36" t="str">
        <f>+'Wrksht. F, CWIP Desc. EKC'!B103</f>
        <v>1070002</v>
      </c>
      <c r="C104" s="37" t="str">
        <f>+'Wrksht. F, CWIP Desc. EKC'!C103</f>
        <v>JEC0820631</v>
      </c>
      <c r="D104" s="1159">
        <v>0</v>
      </c>
      <c r="E104" s="33">
        <f>+'Wrksht. F, CWIP Desc. EKC'!D103</f>
        <v>0</v>
      </c>
      <c r="F104" s="1158">
        <v>40057</v>
      </c>
      <c r="G104" s="1159" t="s">
        <v>1069</v>
      </c>
      <c r="H104" s="1159">
        <v>0</v>
      </c>
      <c r="I104" s="407">
        <f t="shared" si="2"/>
        <v>0</v>
      </c>
      <c r="J104" s="51"/>
    </row>
    <row r="105" spans="1:10">
      <c r="A105" s="239">
        <f t="shared" si="3"/>
        <v>94</v>
      </c>
      <c r="B105" s="36" t="str">
        <f>+'Wrksht. F, CWIP Desc. EKC'!B104</f>
        <v>1070002</v>
      </c>
      <c r="C105" s="37" t="str">
        <f>+'Wrksht. F, CWIP Desc. EKC'!C104</f>
        <v>A11736</v>
      </c>
      <c r="D105" s="1159">
        <v>321715.67</v>
      </c>
      <c r="E105" s="33">
        <f>+'Wrksht. F, CWIP Desc. EKC'!D104</f>
        <v>0</v>
      </c>
      <c r="F105" s="1158">
        <v>40057</v>
      </c>
      <c r="G105" s="1158">
        <v>41206</v>
      </c>
      <c r="H105" s="1159">
        <v>0</v>
      </c>
      <c r="I105" s="407">
        <f t="shared" si="2"/>
        <v>0</v>
      </c>
      <c r="J105" s="51"/>
    </row>
    <row r="106" spans="1:10">
      <c r="A106" s="239">
        <f t="shared" si="3"/>
        <v>95</v>
      </c>
      <c r="B106" s="409">
        <f>+'Wrksht. F, CWIP Desc. EKC'!B105</f>
        <v>1070003</v>
      </c>
      <c r="C106" s="37" t="str">
        <f>+'Wrksht. F, CWIP Desc. EKC'!C105</f>
        <v>TGO0700048</v>
      </c>
      <c r="D106" s="1159">
        <v>157759597.90000001</v>
      </c>
      <c r="E106" s="33">
        <f>+'Wrksht. F, CWIP Desc. EKC'!D105</f>
        <v>0</v>
      </c>
      <c r="F106" s="1158">
        <v>40057</v>
      </c>
      <c r="G106" s="1209">
        <v>39881</v>
      </c>
      <c r="H106" s="1159">
        <v>0</v>
      </c>
      <c r="I106" s="407">
        <f t="shared" si="2"/>
        <v>0</v>
      </c>
      <c r="J106" s="51"/>
    </row>
    <row r="107" spans="1:10">
      <c r="A107" s="239">
        <f t="shared" si="3"/>
        <v>96</v>
      </c>
      <c r="B107" s="409">
        <f>+'Wrksht. F, CWIP Desc. EKC'!B106</f>
        <v>1070003</v>
      </c>
      <c r="C107" s="37" t="str">
        <f>+'Wrksht. F, CWIP Desc. EKC'!C106</f>
        <v>TGO0700049</v>
      </c>
      <c r="D107" s="1159">
        <v>82973500.219999999</v>
      </c>
      <c r="E107" s="33">
        <f>+'Wrksht. F, CWIP Desc. EKC'!D106</f>
        <v>0</v>
      </c>
      <c r="F107" s="1158">
        <v>40057</v>
      </c>
      <c r="G107" s="1209">
        <v>39853</v>
      </c>
      <c r="H107" s="1159">
        <v>0</v>
      </c>
      <c r="I107" s="407">
        <f t="shared" si="2"/>
        <v>0</v>
      </c>
      <c r="J107" s="51"/>
    </row>
    <row r="108" spans="1:10">
      <c r="A108" s="239">
        <f t="shared" si="3"/>
        <v>97</v>
      </c>
      <c r="B108" s="409">
        <f>+'Wrksht. F, CWIP Desc. EKC'!B107</f>
        <v>1070003</v>
      </c>
      <c r="C108" s="37" t="str">
        <f>+'Wrksht. F, CWIP Desc. EKC'!C107</f>
        <v>EEC0801360</v>
      </c>
      <c r="D108" s="1159">
        <v>81641.03</v>
      </c>
      <c r="E108" s="33">
        <f>+'Wrksht. F, CWIP Desc. EKC'!D107</f>
        <v>0</v>
      </c>
      <c r="F108" s="1158">
        <v>40057</v>
      </c>
      <c r="G108" s="1209">
        <v>39822</v>
      </c>
      <c r="H108" s="1159">
        <v>0</v>
      </c>
      <c r="I108" s="407">
        <f t="shared" si="2"/>
        <v>0</v>
      </c>
      <c r="J108" s="51"/>
    </row>
    <row r="109" spans="1:10">
      <c r="A109" s="239">
        <f t="shared" si="3"/>
        <v>98</v>
      </c>
      <c r="B109" s="409">
        <f>+'Wrksht. F, CWIP Desc. EKC'!B108</f>
        <v>1070003</v>
      </c>
      <c r="C109" s="37" t="str">
        <f>+'Wrksht. F, CWIP Desc. EKC'!C108</f>
        <v>S805706</v>
      </c>
      <c r="D109" s="1159">
        <v>216.23</v>
      </c>
      <c r="E109" s="33">
        <f>+'Wrksht. F, CWIP Desc. EKC'!D108</f>
        <v>0</v>
      </c>
      <c r="F109" s="1158">
        <v>40057</v>
      </c>
      <c r="G109" s="1159" t="s">
        <v>1069</v>
      </c>
      <c r="H109" s="1159">
        <v>0</v>
      </c>
      <c r="I109" s="407">
        <f t="shared" si="2"/>
        <v>0</v>
      </c>
      <c r="J109" s="51"/>
    </row>
    <row r="110" spans="1:10">
      <c r="A110" s="239">
        <f t="shared" si="3"/>
        <v>99</v>
      </c>
      <c r="B110" s="409">
        <f>+'Wrksht. F, CWIP Desc. EKC'!B109</f>
        <v>1070003</v>
      </c>
      <c r="C110" s="37" t="str">
        <f>+'Wrksht. F, CWIP Desc. EKC'!C109</f>
        <v>TGO0600049</v>
      </c>
      <c r="D110" s="1159">
        <v>49.12</v>
      </c>
      <c r="E110" s="33">
        <f>+'Wrksht. F, CWIP Desc. EKC'!D109</f>
        <v>0</v>
      </c>
      <c r="F110" s="1158">
        <v>40057</v>
      </c>
      <c r="G110" s="1209">
        <v>39623</v>
      </c>
      <c r="H110" s="1159">
        <v>0</v>
      </c>
      <c r="I110" s="407">
        <f t="shared" si="2"/>
        <v>0</v>
      </c>
      <c r="J110" s="51"/>
    </row>
    <row r="111" spans="1:10">
      <c r="A111" s="239">
        <f t="shared" si="3"/>
        <v>100</v>
      </c>
      <c r="B111" s="409">
        <f>+'Wrksht. F, CWIP Desc. EKC'!B110</f>
        <v>1070003</v>
      </c>
      <c r="C111" s="37" t="str">
        <f>+'Wrksht. F, CWIP Desc. EKC'!C110</f>
        <v>TGO0600058</v>
      </c>
      <c r="D111" s="1159">
        <v>607.67999999999995</v>
      </c>
      <c r="E111" s="33">
        <f>+'Wrksht. F, CWIP Desc. EKC'!D110</f>
        <v>0</v>
      </c>
      <c r="F111" s="1158">
        <v>40057</v>
      </c>
      <c r="G111" s="1209">
        <v>39972</v>
      </c>
      <c r="H111" s="1159">
        <v>0</v>
      </c>
      <c r="I111" s="407">
        <f t="shared" si="2"/>
        <v>0</v>
      </c>
      <c r="J111" s="51"/>
    </row>
    <row r="112" spans="1:10">
      <c r="A112" s="239">
        <f t="shared" si="3"/>
        <v>101</v>
      </c>
      <c r="B112" s="409">
        <f>+'Wrksht. F, CWIP Desc. EKC'!B111</f>
        <v>1070003</v>
      </c>
      <c r="C112" s="37" t="str">
        <f>+'Wrksht. F, CWIP Desc. EKC'!C111</f>
        <v>TGO0600059</v>
      </c>
      <c r="D112" s="1159">
        <v>45710109</v>
      </c>
      <c r="E112" s="33">
        <f>+'Wrksht. F, CWIP Desc. EKC'!D111</f>
        <v>0</v>
      </c>
      <c r="F112" s="1158">
        <v>40057</v>
      </c>
      <c r="G112" s="1209">
        <v>39853</v>
      </c>
      <c r="H112" s="1159">
        <v>0</v>
      </c>
      <c r="I112" s="407">
        <f t="shared" si="2"/>
        <v>0</v>
      </c>
      <c r="J112" s="51"/>
    </row>
    <row r="113" spans="1:10">
      <c r="A113" s="239">
        <f t="shared" si="3"/>
        <v>102</v>
      </c>
      <c r="B113" s="409">
        <f>+'Wrksht. F, CWIP Desc. EKC'!B112</f>
        <v>1070003</v>
      </c>
      <c r="C113" s="37" t="str">
        <f>+'Wrksht. F, CWIP Desc. EKC'!C112</f>
        <v>TGO0600060</v>
      </c>
      <c r="D113" s="1159">
        <v>45713245.759999998</v>
      </c>
      <c r="E113" s="33">
        <f>+'Wrksht. F, CWIP Desc. EKC'!D112</f>
        <v>0</v>
      </c>
      <c r="F113" s="1158">
        <v>40057</v>
      </c>
      <c r="G113" s="1209">
        <v>39853</v>
      </c>
      <c r="H113" s="1159">
        <v>0</v>
      </c>
      <c r="I113" s="407">
        <f t="shared" si="2"/>
        <v>0</v>
      </c>
      <c r="J113" s="51"/>
    </row>
    <row r="114" spans="1:10">
      <c r="A114" s="239">
        <f t="shared" si="3"/>
        <v>103</v>
      </c>
      <c r="B114" s="409">
        <f>+'Wrksht. F, CWIP Desc. EKC'!B113</f>
        <v>1070003</v>
      </c>
      <c r="C114" s="37" t="str">
        <f>+'Wrksht. F, CWIP Desc. EKC'!C113</f>
        <v>TGO0600062</v>
      </c>
      <c r="D114" s="1159">
        <v>1798.58</v>
      </c>
      <c r="E114" s="33">
        <f>+'Wrksht. F, CWIP Desc. EKC'!D113</f>
        <v>0</v>
      </c>
      <c r="F114" s="1158">
        <v>40057</v>
      </c>
      <c r="G114" s="1209">
        <v>39576</v>
      </c>
      <c r="H114" s="1159">
        <v>0</v>
      </c>
      <c r="I114" s="407">
        <f t="shared" si="2"/>
        <v>0</v>
      </c>
      <c r="J114" s="51"/>
    </row>
    <row r="115" spans="1:10">
      <c r="A115" s="239">
        <f t="shared" si="3"/>
        <v>104</v>
      </c>
      <c r="B115" s="409">
        <f>+'Wrksht. F, CWIP Desc. EKC'!B114</f>
        <v>1070003</v>
      </c>
      <c r="C115" s="37" t="str">
        <f>+'Wrksht. F, CWIP Desc. EKC'!C114</f>
        <v>TGO0800057</v>
      </c>
      <c r="D115" s="1159">
        <v>287750.21000000002</v>
      </c>
      <c r="E115" s="33">
        <f>+'Wrksht. F, CWIP Desc. EKC'!D114</f>
        <v>0</v>
      </c>
      <c r="F115" s="1158">
        <v>40057</v>
      </c>
      <c r="G115" s="1209">
        <v>39576</v>
      </c>
      <c r="H115" s="1159">
        <v>0</v>
      </c>
      <c r="I115" s="407">
        <f t="shared" si="2"/>
        <v>0</v>
      </c>
      <c r="J115" s="51"/>
    </row>
    <row r="116" spans="1:10">
      <c r="A116" s="239">
        <f t="shared" si="3"/>
        <v>105</v>
      </c>
      <c r="B116" s="409">
        <f>+'Wrksht. F, CWIP Desc. EKC'!B115</f>
        <v>1070003</v>
      </c>
      <c r="C116" s="37" t="str">
        <f>+'Wrksht. F, CWIP Desc. EKC'!C115</f>
        <v>EEC0800297</v>
      </c>
      <c r="D116" s="1159">
        <v>3945.59</v>
      </c>
      <c r="E116" s="33">
        <f>+'Wrksht. F, CWIP Desc. EKC'!D115</f>
        <v>0</v>
      </c>
      <c r="F116" s="1158">
        <v>40057</v>
      </c>
      <c r="G116" s="1209">
        <v>39853</v>
      </c>
      <c r="H116" s="1159">
        <v>0</v>
      </c>
      <c r="I116" s="407">
        <f t="shared" si="2"/>
        <v>0</v>
      </c>
      <c r="J116" s="51"/>
    </row>
    <row r="117" spans="1:10">
      <c r="A117" s="317">
        <f t="shared" si="3"/>
        <v>106</v>
      </c>
      <c r="B117" s="409">
        <f>+'Wrksht. F, CWIP Desc. EKC'!B116</f>
        <v>1070003</v>
      </c>
      <c r="C117" s="37" t="str">
        <f>+'Wrksht. F, CWIP Desc. EKC'!C116</f>
        <v>A11735</v>
      </c>
      <c r="D117" s="1159">
        <v>0</v>
      </c>
      <c r="E117" s="33">
        <f>+'Wrksht. F, CWIP Desc. EKC'!D116</f>
        <v>0</v>
      </c>
      <c r="F117" s="1158">
        <v>40057</v>
      </c>
      <c r="G117" s="1159" t="s">
        <v>1069</v>
      </c>
      <c r="H117" s="1159">
        <v>0</v>
      </c>
      <c r="I117" s="407">
        <f t="shared" si="2"/>
        <v>0</v>
      </c>
      <c r="J117" s="51"/>
    </row>
    <row r="118" spans="1:10">
      <c r="A118" s="239">
        <f t="shared" si="3"/>
        <v>107</v>
      </c>
      <c r="B118" s="409">
        <f>+'Wrksht. F, CWIP Desc. EKC'!B117</f>
        <v>1070003</v>
      </c>
      <c r="C118" s="37" t="str">
        <f>+'Wrksht. F, CWIP Desc. EKC'!C117</f>
        <v>A23702</v>
      </c>
      <c r="D118" s="1159">
        <v>0</v>
      </c>
      <c r="E118" s="33">
        <f>+'Wrksht. F, CWIP Desc. EKC'!D117</f>
        <v>0</v>
      </c>
      <c r="F118" s="1158">
        <v>40057</v>
      </c>
      <c r="G118" s="1158">
        <v>41194</v>
      </c>
      <c r="H118" s="1159">
        <v>0</v>
      </c>
      <c r="I118" s="407">
        <f t="shared" si="2"/>
        <v>0</v>
      </c>
      <c r="J118" s="51"/>
    </row>
    <row r="119" spans="1:10">
      <c r="A119" s="239">
        <f t="shared" si="3"/>
        <v>108</v>
      </c>
      <c r="B119" s="409">
        <f>+'Wrksht. F, CWIP Desc. EKC'!B118</f>
        <v>1070003</v>
      </c>
      <c r="C119" s="37" t="str">
        <f>+'Wrksht. F, CWIP Desc. EKC'!C118</f>
        <v>A23703</v>
      </c>
      <c r="D119" s="1159">
        <v>0</v>
      </c>
      <c r="E119" s="33">
        <f>+'Wrksht. F, CWIP Desc. EKC'!D118</f>
        <v>0</v>
      </c>
      <c r="F119" s="1158">
        <v>40057</v>
      </c>
      <c r="G119" s="1159" t="s">
        <v>1069</v>
      </c>
      <c r="H119" s="1159">
        <v>0</v>
      </c>
      <c r="I119" s="407">
        <f t="shared" si="2"/>
        <v>0</v>
      </c>
      <c r="J119" s="51"/>
    </row>
    <row r="120" spans="1:10">
      <c r="A120" s="239">
        <f t="shared" ref="A120:A130" si="4">A119+1</f>
        <v>109</v>
      </c>
      <c r="B120" s="409">
        <f>+'Wrksht. F, CWIP Desc. EKC'!B119</f>
        <v>1070002</v>
      </c>
      <c r="C120" s="37" t="str">
        <f>+'Wrksht. F, CWIP Desc. EKC'!C119</f>
        <v>LEC01807601</v>
      </c>
      <c r="D120" s="1159">
        <v>107740270.61</v>
      </c>
      <c r="E120" s="33">
        <f>+'Wrksht. F, CWIP Desc. EKC'!D119</f>
        <v>0</v>
      </c>
      <c r="F120" s="1158">
        <v>40330</v>
      </c>
      <c r="G120" s="1158">
        <v>41015</v>
      </c>
      <c r="H120" s="1159">
        <v>0</v>
      </c>
      <c r="I120" s="407">
        <f t="shared" si="2"/>
        <v>0</v>
      </c>
      <c r="J120" s="51"/>
    </row>
    <row r="121" spans="1:10">
      <c r="A121" s="239">
        <f t="shared" si="4"/>
        <v>110</v>
      </c>
      <c r="B121" s="409">
        <f>+'Wrksht. F, CWIP Desc. EKC'!B120</f>
        <v>1070002</v>
      </c>
      <c r="C121" s="37" t="str">
        <f>+'Wrksht. F, CWIP Desc. EKC'!C120</f>
        <v>LEC01807602</v>
      </c>
      <c r="D121" s="1159">
        <v>56387331.390000001</v>
      </c>
      <c r="E121" s="33">
        <f>+'Wrksht. F, CWIP Desc. EKC'!D120</f>
        <v>0</v>
      </c>
      <c r="F121" s="1158">
        <v>40330</v>
      </c>
      <c r="G121" s="1211">
        <v>41217</v>
      </c>
      <c r="H121" s="1159">
        <v>0</v>
      </c>
      <c r="I121" s="407">
        <f t="shared" si="2"/>
        <v>0</v>
      </c>
      <c r="J121" s="51"/>
    </row>
    <row r="122" spans="1:10">
      <c r="A122" s="239">
        <f t="shared" si="4"/>
        <v>111</v>
      </c>
      <c r="B122" s="409">
        <f>+'Wrksht. F, CWIP Desc. EKC'!B121</f>
        <v>1070002</v>
      </c>
      <c r="C122" s="37" t="str">
        <f>+'Wrksht. F, CWIP Desc. EKC'!C121</f>
        <v>LEC01807603</v>
      </c>
      <c r="D122" s="1159">
        <v>39304373.840000004</v>
      </c>
      <c r="E122" s="33">
        <f>+'Wrksht. F, CWIP Desc. EKC'!D121</f>
        <v>0</v>
      </c>
      <c r="F122" s="1158">
        <v>40330</v>
      </c>
      <c r="G122" s="1158">
        <v>40637</v>
      </c>
      <c r="H122" s="1159">
        <v>0</v>
      </c>
      <c r="I122" s="407">
        <f t="shared" si="2"/>
        <v>0</v>
      </c>
      <c r="J122" s="51"/>
    </row>
    <row r="123" spans="1:10">
      <c r="A123" s="239">
        <f t="shared" si="4"/>
        <v>112</v>
      </c>
      <c r="B123" s="409">
        <f>+'Wrksht. F, CWIP Desc. EKC'!B122</f>
        <v>1070002</v>
      </c>
      <c r="C123" s="37" t="str">
        <f>+'Wrksht. F, CWIP Desc. EKC'!C122</f>
        <v>TEC01861002</v>
      </c>
      <c r="D123" s="1159">
        <v>3085105.65</v>
      </c>
      <c r="E123" s="33">
        <f>+'Wrksht. F, CWIP Desc. EKC'!D122</f>
        <v>0</v>
      </c>
      <c r="F123" s="1158">
        <v>40330</v>
      </c>
      <c r="G123" s="1158">
        <v>40679</v>
      </c>
      <c r="H123" s="1159">
        <v>0</v>
      </c>
      <c r="I123" s="407">
        <f t="shared" si="2"/>
        <v>0</v>
      </c>
      <c r="J123" s="51"/>
    </row>
    <row r="124" spans="1:10">
      <c r="A124" s="239">
        <f t="shared" si="4"/>
        <v>113</v>
      </c>
      <c r="B124" s="409">
        <f>+'Wrksht. F, CWIP Desc. EKC'!B123</f>
        <v>1070002</v>
      </c>
      <c r="C124" s="37" t="str">
        <f>+'Wrksht. F, CWIP Desc. EKC'!C123</f>
        <v>JEC01802402</v>
      </c>
      <c r="D124" s="1159">
        <v>11575.7</v>
      </c>
      <c r="E124" s="33">
        <f>+'Wrksht. F, CWIP Desc. EKC'!D123</f>
        <v>0</v>
      </c>
      <c r="F124" s="1158">
        <v>40330</v>
      </c>
      <c r="G124" s="1158">
        <v>40543</v>
      </c>
      <c r="H124" s="1159">
        <v>0</v>
      </c>
      <c r="I124" s="407">
        <f t="shared" si="2"/>
        <v>0</v>
      </c>
      <c r="J124" s="51"/>
    </row>
    <row r="125" spans="1:10">
      <c r="A125" s="239">
        <f t="shared" si="4"/>
        <v>114</v>
      </c>
      <c r="B125" s="409">
        <f>+'Wrksht. F, CWIP Desc. EKC'!B124</f>
        <v>1070002</v>
      </c>
      <c r="C125" s="37" t="str">
        <f>+'Wrksht. F, CWIP Desc. EKC'!C124</f>
        <v>JEC01805401</v>
      </c>
      <c r="D125" s="1159">
        <v>19677343.73</v>
      </c>
      <c r="E125" s="33">
        <f>+'Wrksht. F, CWIP Desc. EKC'!D124</f>
        <v>0</v>
      </c>
      <c r="F125" s="1158">
        <v>40330</v>
      </c>
      <c r="G125" s="1158">
        <v>40663</v>
      </c>
      <c r="H125" s="1159">
        <v>0</v>
      </c>
      <c r="I125" s="407">
        <f t="shared" si="2"/>
        <v>0</v>
      </c>
      <c r="J125" s="51"/>
    </row>
    <row r="126" spans="1:10">
      <c r="A126" s="239">
        <f t="shared" si="4"/>
        <v>115</v>
      </c>
      <c r="B126" s="409">
        <f>+'Wrksht. F, CWIP Desc. EKC'!B125</f>
        <v>1070002</v>
      </c>
      <c r="C126" s="37" t="str">
        <f>+'Wrksht. F, CWIP Desc. EKC'!C125</f>
        <v>JEC01806001</v>
      </c>
      <c r="D126" s="1159">
        <v>4955837.9000000004</v>
      </c>
      <c r="E126" s="33">
        <f>+'Wrksht. F, CWIP Desc. EKC'!D125</f>
        <v>0</v>
      </c>
      <c r="F126" s="1158">
        <v>40330</v>
      </c>
      <c r="G126" s="1158">
        <v>40718</v>
      </c>
      <c r="H126" s="1159">
        <v>0</v>
      </c>
      <c r="I126" s="407">
        <f t="shared" si="2"/>
        <v>0</v>
      </c>
      <c r="J126" s="51"/>
    </row>
    <row r="127" spans="1:10">
      <c r="A127" s="239">
        <f t="shared" si="4"/>
        <v>116</v>
      </c>
      <c r="B127" s="409" t="str">
        <f>+'Wrksht. F, CWIP Desc. EKC'!B126</f>
        <v>1070002</v>
      </c>
      <c r="C127" s="37" t="str">
        <f>+'Wrksht. F, CWIP Desc. EKC'!C126</f>
        <v>LEC011005101</v>
      </c>
      <c r="D127" s="1159">
        <v>4719162.8899999997</v>
      </c>
      <c r="E127" s="33">
        <f>+'Wrksht. F, CWIP Desc. EKC'!D126</f>
        <v>0</v>
      </c>
      <c r="F127" s="1158">
        <v>40695</v>
      </c>
      <c r="G127" s="1158">
        <v>41016</v>
      </c>
      <c r="H127" s="1159">
        <v>0</v>
      </c>
      <c r="I127" s="407">
        <f t="shared" ref="I127:I137" si="5">IF((E127-H127)&lt;=1000000,-H127,E127-H127)</f>
        <v>0</v>
      </c>
      <c r="J127" s="51"/>
    </row>
    <row r="128" spans="1:10">
      <c r="A128" s="317">
        <f t="shared" si="4"/>
        <v>117</v>
      </c>
      <c r="B128" s="409" t="str">
        <f>+'Wrksht. F, CWIP Desc. EKC'!B127</f>
        <v>1070002</v>
      </c>
      <c r="C128" s="37" t="str">
        <f>+'Wrksht. F, CWIP Desc. EKC'!C127</f>
        <v>JEC011005801</v>
      </c>
      <c r="D128" s="1159">
        <v>2990146.68</v>
      </c>
      <c r="E128" s="33">
        <f>+'Wrksht. F, CWIP Desc. EKC'!D127</f>
        <v>0</v>
      </c>
      <c r="F128" s="1158">
        <v>40695</v>
      </c>
      <c r="G128" s="1211">
        <v>41187</v>
      </c>
      <c r="H128" s="1159">
        <v>0</v>
      </c>
      <c r="I128" s="407">
        <f t="shared" si="5"/>
        <v>0</v>
      </c>
      <c r="J128" s="51"/>
    </row>
    <row r="129" spans="1:10">
      <c r="A129" s="239">
        <f t="shared" si="4"/>
        <v>118</v>
      </c>
      <c r="B129" s="409">
        <f>+'Wrksht. F, CWIP Desc. EKC'!B128</f>
        <v>1070002</v>
      </c>
      <c r="C129" s="37" t="str">
        <f>+'Wrksht. F, CWIP Desc. EKC'!C128</f>
        <v>TEC011061001</v>
      </c>
      <c r="D129" s="1159">
        <v>1823968.28</v>
      </c>
      <c r="E129" s="33">
        <f>+'Wrksht. F, CWIP Desc. EKC'!D128</f>
        <v>0</v>
      </c>
      <c r="F129" s="1158">
        <v>41061</v>
      </c>
      <c r="G129" s="1158">
        <v>41073</v>
      </c>
      <c r="H129" s="1212">
        <v>0</v>
      </c>
      <c r="I129" s="407">
        <f>IF((E129-H129)&lt;=1000000,-H129,E129-H129)</f>
        <v>0</v>
      </c>
      <c r="J129" s="51"/>
    </row>
    <row r="130" spans="1:10">
      <c r="A130" s="239">
        <f t="shared" si="4"/>
        <v>119</v>
      </c>
      <c r="B130" s="409">
        <f>+'Wrksht. F, CWIP Desc. EKC'!B129</f>
        <v>1070002</v>
      </c>
      <c r="C130" s="37" t="str">
        <f>+'Wrksht. F, CWIP Desc. EKC'!C129</f>
        <v>LEC011005001</v>
      </c>
      <c r="D130" s="1159">
        <v>6932790.6200000001</v>
      </c>
      <c r="E130" s="33">
        <f>+'Wrksht. F, CWIP Desc. EKC'!D129</f>
        <v>0</v>
      </c>
      <c r="F130" s="1158">
        <v>41061</v>
      </c>
      <c r="G130" s="1158">
        <v>41339</v>
      </c>
      <c r="H130" s="1212">
        <v>0</v>
      </c>
      <c r="I130" s="407">
        <f>IF((E130-H130)&lt;=1000000,-H130,E130-H130)</f>
        <v>0</v>
      </c>
      <c r="J130" s="51"/>
    </row>
    <row r="131" spans="1:10">
      <c r="A131" s="239">
        <f t="shared" ref="A131:A194" si="6">A130+1</f>
        <v>120</v>
      </c>
      <c r="B131" s="409" t="str">
        <f>+'Wrksht. F, CWIP Desc. EKC'!B130</f>
        <v>1070002</v>
      </c>
      <c r="C131" s="37" t="str">
        <f>+'Wrksht. F, CWIP Desc. EKC'!C130</f>
        <v>LEC011043501</v>
      </c>
      <c r="D131" s="1159">
        <v>3783925.98</v>
      </c>
      <c r="E131" s="33">
        <f>+'Wrksht. F, CWIP Desc. EKC'!D130</f>
        <v>0</v>
      </c>
      <c r="F131" s="1158">
        <v>41061</v>
      </c>
      <c r="G131" s="1158">
        <v>41016</v>
      </c>
      <c r="H131" s="1159">
        <v>0</v>
      </c>
      <c r="I131" s="407">
        <f t="shared" si="5"/>
        <v>0</v>
      </c>
      <c r="J131" s="51"/>
    </row>
    <row r="132" spans="1:10">
      <c r="A132" s="239">
        <f t="shared" si="6"/>
        <v>121</v>
      </c>
      <c r="B132" s="409">
        <f>+'Wrksht. F, CWIP Desc. EKC'!B131</f>
        <v>1070002</v>
      </c>
      <c r="C132" s="37" t="str">
        <f>+'Wrksht. F, CWIP Desc. EKC'!C131</f>
        <v>LEC01807604</v>
      </c>
      <c r="D132" s="1159">
        <v>2955101.29</v>
      </c>
      <c r="E132" s="33">
        <f>+'Wrksht. F, CWIP Desc. EKC'!D131</f>
        <v>0</v>
      </c>
      <c r="F132" s="1158">
        <v>41061</v>
      </c>
      <c r="G132" s="1158">
        <v>41376</v>
      </c>
      <c r="H132" s="1159">
        <v>0</v>
      </c>
      <c r="I132" s="407">
        <f>IF((E132-H132)&lt;=1000000,-H132,E132-H132)</f>
        <v>0</v>
      </c>
      <c r="J132" s="51"/>
    </row>
    <row r="133" spans="1:10">
      <c r="A133" s="239">
        <f t="shared" si="6"/>
        <v>122</v>
      </c>
      <c r="B133" s="409">
        <f>+'Wrksht. F, CWIP Desc. EKC'!B132</f>
        <v>1070003</v>
      </c>
      <c r="C133" s="37" t="str">
        <f>+'Wrksht. F, CWIP Desc. EKC'!C132</f>
        <v>EEC011188101</v>
      </c>
      <c r="D133" s="1159">
        <v>1221923.98</v>
      </c>
      <c r="E133" s="33">
        <f>+'Wrksht. F, CWIP Desc. EKC'!D132</f>
        <v>0</v>
      </c>
      <c r="F133" s="1158">
        <v>41061</v>
      </c>
      <c r="G133" s="1158">
        <v>40917</v>
      </c>
      <c r="H133" s="1159">
        <v>0</v>
      </c>
      <c r="I133" s="407">
        <f t="shared" si="5"/>
        <v>0</v>
      </c>
      <c r="J133" s="51"/>
    </row>
    <row r="134" spans="1:10">
      <c r="A134" s="239">
        <f t="shared" si="6"/>
        <v>123</v>
      </c>
      <c r="B134" s="409">
        <f>+'Wrksht. F, CWIP Desc. EKC'!B133</f>
        <v>1070002</v>
      </c>
      <c r="C134" s="37" t="str">
        <f>+'Wrksht. F, CWIP Desc. EKC'!C133</f>
        <v>JEC011005901</v>
      </c>
      <c r="D134" s="1159">
        <v>287142.34000000003</v>
      </c>
      <c r="E134" s="33">
        <f>+'Wrksht. F, CWIP Desc. EKC'!D133</f>
        <v>0</v>
      </c>
      <c r="F134" s="1158">
        <v>41061</v>
      </c>
      <c r="G134" s="1158">
        <v>41996</v>
      </c>
      <c r="H134" s="1159">
        <v>0</v>
      </c>
      <c r="I134" s="407">
        <f>IF((E134-H134)&lt;=1000000,-H134,E134-H134)</f>
        <v>0</v>
      </c>
      <c r="J134" s="51"/>
    </row>
    <row r="135" spans="1:10">
      <c r="A135" s="239">
        <f t="shared" si="6"/>
        <v>124</v>
      </c>
      <c r="B135" s="409" t="str">
        <f>+'Wrksht. F, CWIP Desc. EKC'!B134</f>
        <v>1070002</v>
      </c>
      <c r="C135" s="37" t="str">
        <f>+'Wrksht. F, CWIP Desc. EKC'!C134</f>
        <v>JEC011105501</v>
      </c>
      <c r="D135" s="1159">
        <v>1437749.56</v>
      </c>
      <c r="E135" s="33">
        <f>+'Wrksht. F, CWIP Desc. EKC'!D134</f>
        <v>0</v>
      </c>
      <c r="F135" s="1158">
        <v>41061</v>
      </c>
      <c r="G135" s="1158">
        <v>41044</v>
      </c>
      <c r="H135" s="1159">
        <v>0</v>
      </c>
      <c r="I135" s="407">
        <f t="shared" si="5"/>
        <v>0</v>
      </c>
      <c r="J135" s="51"/>
    </row>
    <row r="136" spans="1:10">
      <c r="A136" s="239">
        <f t="shared" si="6"/>
        <v>125</v>
      </c>
      <c r="B136" s="409" t="str">
        <f>+'Wrksht. F, CWIP Desc. EKC'!B135</f>
        <v>1070002</v>
      </c>
      <c r="C136" s="37" t="str">
        <f>+'Wrksht. F, CWIP Desc. EKC'!C135</f>
        <v>JEC011105801</v>
      </c>
      <c r="D136" s="1159">
        <v>4472822.25</v>
      </c>
      <c r="E136" s="33">
        <f>+'Wrksht. F, CWIP Desc. EKC'!D135</f>
        <v>0</v>
      </c>
      <c r="F136" s="1158">
        <v>41061</v>
      </c>
      <c r="G136" s="1158">
        <v>41151</v>
      </c>
      <c r="H136" s="1159">
        <v>0</v>
      </c>
      <c r="I136" s="407">
        <f t="shared" si="5"/>
        <v>0</v>
      </c>
      <c r="J136" s="51"/>
    </row>
    <row r="137" spans="1:10">
      <c r="A137" s="239">
        <f t="shared" si="6"/>
        <v>126</v>
      </c>
      <c r="B137" s="409" t="str">
        <f>+'Wrksht. F, CWIP Desc. EKC'!B136</f>
        <v>1070002</v>
      </c>
      <c r="C137" s="37" t="str">
        <f>+'Wrksht. F, CWIP Desc. EKC'!C136</f>
        <v>JEC011116301</v>
      </c>
      <c r="D137" s="1159">
        <v>1052875.67</v>
      </c>
      <c r="E137" s="33">
        <f>+'Wrksht. F, CWIP Desc. EKC'!D136</f>
        <v>0</v>
      </c>
      <c r="F137" s="1158">
        <v>41061</v>
      </c>
      <c r="G137" s="1158">
        <v>41030</v>
      </c>
      <c r="H137" s="1159">
        <v>0</v>
      </c>
      <c r="I137" s="407">
        <f t="shared" si="5"/>
        <v>0</v>
      </c>
      <c r="J137" s="51"/>
    </row>
    <row r="138" spans="1:10">
      <c r="A138" s="239">
        <f t="shared" si="6"/>
        <v>127</v>
      </c>
      <c r="B138" s="409" t="str">
        <f>+'Wrksht. F, CWIP Desc. EKC'!B137</f>
        <v>1070002</v>
      </c>
      <c r="C138" s="37" t="str">
        <f>+'Wrksht. F, CWIP Desc. EKC'!C137</f>
        <v>LEC011042901</v>
      </c>
      <c r="D138" s="1159">
        <v>3112.64</v>
      </c>
      <c r="E138" s="33">
        <f>+'Wrksht. F, CWIP Desc. EKC'!D137</f>
        <v>0</v>
      </c>
      <c r="F138" s="1158">
        <v>41426</v>
      </c>
      <c r="G138" s="1158">
        <v>41627</v>
      </c>
      <c r="H138" s="1159">
        <v>0</v>
      </c>
      <c r="I138" s="407">
        <f t="shared" ref="I138:I145" si="7">IF((E138-H138)&lt;=1000000,-H138,E138-H138)</f>
        <v>0</v>
      </c>
      <c r="J138" s="51"/>
    </row>
    <row r="139" spans="1:10">
      <c r="A139" s="239">
        <f t="shared" si="6"/>
        <v>128</v>
      </c>
      <c r="B139" s="409" t="str">
        <f>+'Wrksht. F, CWIP Desc. EKC'!B138</f>
        <v>1070002</v>
      </c>
      <c r="C139" s="37" t="str">
        <f>+'Wrksht. F, CWIP Desc. EKC'!C138</f>
        <v>TEC01706701</v>
      </c>
      <c r="D139" s="1159">
        <v>2560717.36</v>
      </c>
      <c r="E139" s="33">
        <f>+'Wrksht. F, CWIP Desc. EKC'!D138</f>
        <v>0</v>
      </c>
      <c r="F139" s="1158">
        <v>41426</v>
      </c>
      <c r="G139" s="1158">
        <v>41423</v>
      </c>
      <c r="H139" s="1159">
        <v>0</v>
      </c>
      <c r="I139" s="407">
        <f t="shared" si="7"/>
        <v>0</v>
      </c>
      <c r="J139" s="51"/>
    </row>
    <row r="140" spans="1:10">
      <c r="A140" s="239">
        <f t="shared" si="6"/>
        <v>129</v>
      </c>
      <c r="B140" s="409" t="str">
        <f>+'Wrksht. F, CWIP Desc. EKC'!B139</f>
        <v>1070002</v>
      </c>
      <c r="C140" s="37" t="str">
        <f>+'Wrksht. F, CWIP Desc. EKC'!C139</f>
        <v>LEC011105301</v>
      </c>
      <c r="D140" s="1159">
        <v>2654585.19</v>
      </c>
      <c r="E140" s="33">
        <f>+'Wrksht. F, CWIP Desc. EKC'!D139</f>
        <v>0</v>
      </c>
      <c r="F140" s="1158">
        <v>41426</v>
      </c>
      <c r="G140" s="1158">
        <v>41387</v>
      </c>
      <c r="H140" s="1159">
        <v>0</v>
      </c>
      <c r="I140" s="407">
        <f t="shared" si="7"/>
        <v>0</v>
      </c>
      <c r="J140" s="51"/>
    </row>
    <row r="141" spans="1:10">
      <c r="A141" s="239">
        <f t="shared" si="6"/>
        <v>130</v>
      </c>
      <c r="B141" s="409">
        <f>+'Wrksht. F, CWIP Desc. EKC'!B140</f>
        <v>1000</v>
      </c>
      <c r="C141" s="37" t="str">
        <f>+'Wrksht. F, CWIP Desc. EKC'!C140</f>
        <v>JEC011117901</v>
      </c>
      <c r="D141" s="1159">
        <v>-3503.71</v>
      </c>
      <c r="E141" s="33">
        <f>+'Wrksht. F, CWIP Desc. EKC'!D140</f>
        <v>0</v>
      </c>
      <c r="F141" s="1158">
        <v>41791</v>
      </c>
      <c r="G141" s="1158">
        <v>41878</v>
      </c>
      <c r="H141" s="1159">
        <v>0</v>
      </c>
      <c r="I141" s="407">
        <f t="shared" si="7"/>
        <v>0</v>
      </c>
      <c r="J141" s="51"/>
    </row>
    <row r="142" spans="1:10">
      <c r="A142" s="239">
        <f t="shared" si="6"/>
        <v>131</v>
      </c>
      <c r="B142" s="409">
        <f>+'Wrksht. F, CWIP Desc. EKC'!B141</f>
        <v>1000</v>
      </c>
      <c r="C142" s="37" t="str">
        <f>+'Wrksht. F, CWIP Desc. EKC'!C141</f>
        <v>JEC011205201</v>
      </c>
      <c r="D142" s="1159">
        <v>152.44999999999999</v>
      </c>
      <c r="E142" s="33">
        <f>+'Wrksht. F, CWIP Desc. EKC'!D141</f>
        <v>0</v>
      </c>
      <c r="F142" s="1158">
        <v>41791</v>
      </c>
      <c r="G142" s="1158">
        <v>41793</v>
      </c>
      <c r="H142" s="1159">
        <v>0</v>
      </c>
      <c r="I142" s="407">
        <f t="shared" si="7"/>
        <v>0</v>
      </c>
      <c r="J142" s="51"/>
    </row>
    <row r="143" spans="1:10">
      <c r="A143" s="239">
        <f t="shared" si="6"/>
        <v>132</v>
      </c>
      <c r="B143" s="409">
        <f>+'Wrksht. F, CWIP Desc. EKC'!B142</f>
        <v>1000</v>
      </c>
      <c r="C143" s="37" t="str">
        <f>+'Wrksht. F, CWIP Desc. EKC'!C142</f>
        <v>JEC011300301</v>
      </c>
      <c r="D143" s="1159">
        <v>-1293.08</v>
      </c>
      <c r="E143" s="33">
        <f>+'Wrksht. F, CWIP Desc. EKC'!D142</f>
        <v>0</v>
      </c>
      <c r="F143" s="1158">
        <v>41791</v>
      </c>
      <c r="G143" s="1158">
        <v>41845</v>
      </c>
      <c r="H143" s="1159">
        <v>0</v>
      </c>
      <c r="I143" s="407">
        <f t="shared" si="7"/>
        <v>0</v>
      </c>
      <c r="J143" s="51"/>
    </row>
    <row r="144" spans="1:10">
      <c r="A144" s="239">
        <f t="shared" si="6"/>
        <v>133</v>
      </c>
      <c r="B144" s="409">
        <f>+'Wrksht. F, CWIP Desc. EKC'!B143</f>
        <v>1000</v>
      </c>
      <c r="C144" s="37" t="str">
        <f>+'Wrksht. F, CWIP Desc. EKC'!C143</f>
        <v>JEC011410201</v>
      </c>
      <c r="D144" s="1159">
        <v>32540.880000000001</v>
      </c>
      <c r="E144" s="33">
        <f>+'Wrksht. F, CWIP Desc. EKC'!D143</f>
        <v>0</v>
      </c>
      <c r="F144" s="1158">
        <v>41791</v>
      </c>
      <c r="G144" s="1158">
        <v>41994</v>
      </c>
      <c r="H144" s="1159">
        <v>0</v>
      </c>
      <c r="I144" s="407">
        <f t="shared" si="7"/>
        <v>0</v>
      </c>
      <c r="J144" s="51"/>
    </row>
    <row r="145" spans="1:10">
      <c r="A145" s="239">
        <f t="shared" si="6"/>
        <v>134</v>
      </c>
      <c r="B145" s="409">
        <f>+'Wrksht. F, CWIP Desc. EKC'!B144</f>
        <v>1000</v>
      </c>
      <c r="C145" s="37" t="str">
        <f>+'Wrksht. F, CWIP Desc. EKC'!C144</f>
        <v>E011388801</v>
      </c>
      <c r="D145" s="1159">
        <v>1089729.08</v>
      </c>
      <c r="E145" s="33">
        <f>+'Wrksht. F, CWIP Desc. EKC'!D144</f>
        <v>0</v>
      </c>
      <c r="F145" s="1158">
        <v>41791</v>
      </c>
      <c r="G145" s="1158">
        <v>42004</v>
      </c>
      <c r="H145" s="1159">
        <v>0</v>
      </c>
      <c r="I145" s="407">
        <f t="shared" si="7"/>
        <v>0</v>
      </c>
      <c r="J145" s="51"/>
    </row>
    <row r="146" spans="1:10">
      <c r="A146" s="757">
        <f t="shared" si="6"/>
        <v>135</v>
      </c>
      <c r="B146" s="1124">
        <f>+'Wrksht. F, CWIP Desc. EKC'!B145</f>
        <v>1000</v>
      </c>
      <c r="C146" s="1125" t="str">
        <f>+'Wrksht. F, CWIP Desc. EKC'!C145</f>
        <v>05701 JEC011305201</v>
      </c>
      <c r="D146" s="1160">
        <v>1035050.19</v>
      </c>
      <c r="E146" s="1205">
        <f>+'Wrksht. F, CWIP Desc. EKC'!D145</f>
        <v>0</v>
      </c>
      <c r="F146" s="1161">
        <v>42156</v>
      </c>
      <c r="G146" s="1161">
        <v>42186</v>
      </c>
      <c r="H146" s="1160">
        <v>0</v>
      </c>
      <c r="I146" s="1127">
        <f t="shared" ref="I146:I154" si="8">IF((E146-H146)&lt;=1000000,-H146,E146-H146)</f>
        <v>0</v>
      </c>
      <c r="J146" s="51"/>
    </row>
    <row r="147" spans="1:10">
      <c r="A147" s="619">
        <f t="shared" si="6"/>
        <v>136</v>
      </c>
      <c r="B147" s="1124">
        <f>+'Wrksht. F, CWIP Desc. EKC'!B146</f>
        <v>1000</v>
      </c>
      <c r="C147" s="1125" t="str">
        <f>+'Wrksht. F, CWIP Desc. EKC'!C146</f>
        <v>05701 JEC011305401</v>
      </c>
      <c r="D147" s="1159">
        <v>1496529.91</v>
      </c>
      <c r="E147" s="1196">
        <f>+'Wrksht. F, CWIP Desc. EKC'!D146</f>
        <v>0</v>
      </c>
      <c r="F147" s="1158">
        <v>42156</v>
      </c>
      <c r="G147" s="1158">
        <v>42072</v>
      </c>
      <c r="H147" s="1159">
        <v>0</v>
      </c>
      <c r="I147" s="1130">
        <f t="shared" si="8"/>
        <v>0</v>
      </c>
      <c r="J147" s="51"/>
    </row>
    <row r="148" spans="1:10">
      <c r="A148" s="619">
        <f t="shared" si="6"/>
        <v>137</v>
      </c>
      <c r="B148" s="1124">
        <f>+'Wrksht. F, CWIP Desc. EKC'!B147</f>
        <v>1000</v>
      </c>
      <c r="C148" s="1125" t="str">
        <f>+'Wrksht. F, CWIP Desc. EKC'!C147</f>
        <v>L011305501</v>
      </c>
      <c r="D148" s="1159">
        <v>1676409.16</v>
      </c>
      <c r="E148" s="1196">
        <f>+'Wrksht. F, CWIP Desc. EKC'!D147</f>
        <v>0</v>
      </c>
      <c r="F148" s="1158">
        <v>42156</v>
      </c>
      <c r="G148" s="1158">
        <v>42357</v>
      </c>
      <c r="H148" s="1159">
        <v>0</v>
      </c>
      <c r="I148" s="1130">
        <f t="shared" si="8"/>
        <v>0</v>
      </c>
      <c r="J148" s="51"/>
    </row>
    <row r="149" spans="1:10">
      <c r="A149" s="619">
        <f t="shared" si="6"/>
        <v>138</v>
      </c>
      <c r="B149" s="1124">
        <f>+'Wrksht. F, CWIP Desc. EKC'!B148</f>
        <v>1000</v>
      </c>
      <c r="C149" s="1125" t="str">
        <f>+'Wrksht. F, CWIP Desc. EKC'!C148</f>
        <v>05877 TGO011098701</v>
      </c>
      <c r="D149" s="1159">
        <v>1715894.33</v>
      </c>
      <c r="E149" s="1196">
        <f>+'Wrksht. F, CWIP Desc. EKC'!D148</f>
        <v>0</v>
      </c>
      <c r="F149" s="1158">
        <v>42156</v>
      </c>
      <c r="G149" s="1158">
        <v>41548</v>
      </c>
      <c r="H149" s="1159">
        <v>0</v>
      </c>
      <c r="I149" s="1130">
        <f>IF((E149-H149)&lt;=1000000,-H149,E149-H149)</f>
        <v>0</v>
      </c>
      <c r="J149" s="51"/>
    </row>
    <row r="150" spans="1:10">
      <c r="A150" s="619">
        <f t="shared" si="6"/>
        <v>139</v>
      </c>
      <c r="B150" s="1124">
        <f>+'Wrksht. F, CWIP Desc. EKC'!B149</f>
        <v>1000</v>
      </c>
      <c r="C150" s="1125" t="str">
        <f>+'Wrksht. F, CWIP Desc. EKC'!C149</f>
        <v>J011300302</v>
      </c>
      <c r="D150" s="1159">
        <v>114717.01</v>
      </c>
      <c r="E150" s="33">
        <f>+'Wrksht. F, CWIP Desc. EKC'!D149</f>
        <v>0</v>
      </c>
      <c r="F150" s="1158">
        <v>42156</v>
      </c>
      <c r="G150" s="1158" t="s">
        <v>1069</v>
      </c>
      <c r="H150" s="1159">
        <v>0</v>
      </c>
      <c r="I150" s="1130">
        <f t="shared" si="8"/>
        <v>0</v>
      </c>
      <c r="J150" s="51"/>
    </row>
    <row r="151" spans="1:10">
      <c r="A151" s="619">
        <f t="shared" si="6"/>
        <v>140</v>
      </c>
      <c r="B151" s="1124">
        <f>+'Wrksht. F, CWIP Desc. EKC'!B150</f>
        <v>1000</v>
      </c>
      <c r="C151" s="1125" t="str">
        <f>+'Wrksht. F, CWIP Desc. EKC'!C150</f>
        <v>J011414901</v>
      </c>
      <c r="D151" s="1159">
        <v>1876884.59</v>
      </c>
      <c r="E151" s="1196">
        <f>+'Wrksht. F, CWIP Desc. EKC'!D150</f>
        <v>0</v>
      </c>
      <c r="F151" s="1158">
        <v>42156</v>
      </c>
      <c r="G151" s="1158">
        <v>42010</v>
      </c>
      <c r="H151" s="1159">
        <v>0</v>
      </c>
      <c r="I151" s="1130">
        <f t="shared" si="8"/>
        <v>0</v>
      </c>
      <c r="J151" s="51"/>
    </row>
    <row r="152" spans="1:10">
      <c r="A152" s="619">
        <f t="shared" si="6"/>
        <v>141</v>
      </c>
      <c r="B152" s="1124">
        <f>+'Wrksht. F, CWIP Desc. EKC'!B151</f>
        <v>1000</v>
      </c>
      <c r="C152" s="1125" t="str">
        <f>+'Wrksht. F, CWIP Desc. EKC'!C151</f>
        <v>L011305701</v>
      </c>
      <c r="D152" s="1159">
        <v>2018627.78</v>
      </c>
      <c r="E152" s="1196">
        <f>+'Wrksht. F, CWIP Desc. EKC'!D151</f>
        <v>0</v>
      </c>
      <c r="F152" s="1158">
        <v>42156</v>
      </c>
      <c r="G152" s="1158">
        <v>42284</v>
      </c>
      <c r="H152" s="1159">
        <v>0</v>
      </c>
      <c r="I152" s="1130">
        <f t="shared" si="8"/>
        <v>0</v>
      </c>
      <c r="J152" s="51"/>
    </row>
    <row r="153" spans="1:10">
      <c r="A153" s="619">
        <f t="shared" si="6"/>
        <v>142</v>
      </c>
      <c r="B153" s="1124">
        <f>+'Wrksht. F, CWIP Desc. EKC'!B152</f>
        <v>1000</v>
      </c>
      <c r="C153" s="1125" t="str">
        <f>+'Wrksht. F, CWIP Desc. EKC'!C152</f>
        <v>05701 JEC011305301</v>
      </c>
      <c r="D153" s="1159">
        <v>2034925.57</v>
      </c>
      <c r="E153" s="1196">
        <f>+'Wrksht. F, CWIP Desc. EKC'!D152</f>
        <v>0</v>
      </c>
      <c r="F153" s="1158">
        <v>42156</v>
      </c>
      <c r="G153" s="1158">
        <v>42072</v>
      </c>
      <c r="H153" s="1159">
        <v>0</v>
      </c>
      <c r="I153" s="1130">
        <f t="shared" si="8"/>
        <v>0</v>
      </c>
      <c r="J153" s="51"/>
    </row>
    <row r="154" spans="1:10">
      <c r="A154" s="757">
        <f t="shared" si="6"/>
        <v>143</v>
      </c>
      <c r="B154" s="1124">
        <f>+'Wrksht. F, CWIP Desc. EKC'!B153</f>
        <v>1000</v>
      </c>
      <c r="C154" s="1125" t="str">
        <f>+'Wrksht. F, CWIP Desc. EKC'!C153</f>
        <v>J011412301</v>
      </c>
      <c r="D154" s="1160">
        <v>4008416.89</v>
      </c>
      <c r="E154" s="1205">
        <f>+'Wrksht. F, CWIP Desc. EKC'!D153</f>
        <v>0</v>
      </c>
      <c r="F154" s="1161">
        <v>42156</v>
      </c>
      <c r="G154" s="1161">
        <v>42109</v>
      </c>
      <c r="H154" s="1160">
        <v>0</v>
      </c>
      <c r="I154" s="1127">
        <f t="shared" si="8"/>
        <v>0</v>
      </c>
      <c r="J154" s="51"/>
    </row>
    <row r="155" spans="1:10">
      <c r="A155" s="757">
        <f t="shared" si="6"/>
        <v>144</v>
      </c>
      <c r="B155" s="1124">
        <f>+'Wrksht. F, CWIP Desc. EKC'!B154</f>
        <v>1000</v>
      </c>
      <c r="C155" s="1125" t="str">
        <f>+'Wrksht. F, CWIP Desc. EKC'!C154</f>
        <v>L000022501</v>
      </c>
      <c r="D155" s="1160">
        <v>1627395.06</v>
      </c>
      <c r="E155" s="1205">
        <f>+'Wrksht. F, CWIP Desc. EKC'!D154</f>
        <v>0</v>
      </c>
      <c r="F155" s="1161">
        <v>42522</v>
      </c>
      <c r="G155" s="1161">
        <v>42705</v>
      </c>
      <c r="H155" s="1160">
        <v>0</v>
      </c>
      <c r="I155" s="1127">
        <f t="shared" ref="I155:I165" si="9">IF((E155-H155)&lt;=1000000,-H155,E155-H155)</f>
        <v>0</v>
      </c>
      <c r="J155" s="51"/>
    </row>
    <row r="156" spans="1:10">
      <c r="A156" s="619">
        <f t="shared" si="6"/>
        <v>145</v>
      </c>
      <c r="B156" s="1124">
        <f>+'Wrksht. F, CWIP Desc. EKC'!B155</f>
        <v>1000</v>
      </c>
      <c r="C156" s="1125" t="str">
        <f>+'Wrksht. F, CWIP Desc. EKC'!C155</f>
        <v>L000982201</v>
      </c>
      <c r="D156" s="1159">
        <v>7756222.6100000003</v>
      </c>
      <c r="E156" s="1196">
        <f>+'Wrksht. F, CWIP Desc. EKC'!D155</f>
        <v>0</v>
      </c>
      <c r="F156" s="1158">
        <v>42522</v>
      </c>
      <c r="G156" s="1158">
        <v>42704</v>
      </c>
      <c r="H156" s="1159">
        <v>0</v>
      </c>
      <c r="I156" s="1130">
        <f t="shared" si="9"/>
        <v>0</v>
      </c>
      <c r="J156" s="51"/>
    </row>
    <row r="157" spans="1:10">
      <c r="A157" s="619">
        <f t="shared" si="6"/>
        <v>146</v>
      </c>
      <c r="B157" s="1124">
        <f>+'Wrksht. F, CWIP Desc. EKC'!B156</f>
        <v>1000</v>
      </c>
      <c r="C157" s="1125" t="str">
        <f>+'Wrksht. F, CWIP Desc. EKC'!C156</f>
        <v>L011305601</v>
      </c>
      <c r="D157" s="1159">
        <v>55661.760000000002</v>
      </c>
      <c r="E157" s="1196">
        <f>+'Wrksht. F, CWIP Desc. EKC'!D156</f>
        <v>0</v>
      </c>
      <c r="F157" s="1158">
        <v>42522</v>
      </c>
      <c r="G157" s="1158">
        <v>42284</v>
      </c>
      <c r="H157" s="1159">
        <v>0</v>
      </c>
      <c r="I157" s="1130">
        <f>IF((E157-H157)&lt;=1000000,-H157,E157-H157)</f>
        <v>0</v>
      </c>
      <c r="J157" s="51"/>
    </row>
    <row r="158" spans="1:10">
      <c r="A158" s="619">
        <f>A157+1</f>
        <v>147</v>
      </c>
      <c r="B158" s="1124">
        <f>+'Wrksht. F, CWIP Desc. EKC'!B157</f>
        <v>1000</v>
      </c>
      <c r="C158" s="1125" t="str">
        <f>+'Wrksht. F, CWIP Desc. EKC'!C157</f>
        <v>05701 J000830601</v>
      </c>
      <c r="D158" s="1159">
        <v>2796698.22</v>
      </c>
      <c r="E158" s="1196">
        <f>+'Wrksht. F, CWIP Desc. EKC'!D157</f>
        <v>0</v>
      </c>
      <c r="F158" s="1158">
        <v>42522</v>
      </c>
      <c r="G158" s="1158">
        <v>42598</v>
      </c>
      <c r="H158" s="1159">
        <v>0</v>
      </c>
      <c r="I158" s="1130">
        <f t="shared" si="9"/>
        <v>0</v>
      </c>
      <c r="J158" s="51"/>
    </row>
    <row r="159" spans="1:10">
      <c r="A159" s="619">
        <f t="shared" si="6"/>
        <v>148</v>
      </c>
      <c r="B159" s="1124">
        <f>+'Wrksht. F, CWIP Desc. EKC'!B158</f>
        <v>1000</v>
      </c>
      <c r="C159" s="1125" t="str">
        <f>+'Wrksht. F, CWIP Desc. EKC'!C158</f>
        <v>J00616401</v>
      </c>
      <c r="D159" s="1159">
        <v>-15518.72</v>
      </c>
      <c r="E159" s="1196">
        <f>+'Wrksht. F, CWIP Desc. EKC'!D158</f>
        <v>0</v>
      </c>
      <c r="F159" s="1158">
        <v>42522</v>
      </c>
      <c r="G159" s="1158">
        <v>42522</v>
      </c>
      <c r="H159" s="1159">
        <v>0</v>
      </c>
      <c r="I159" s="1130">
        <f t="shared" si="9"/>
        <v>0</v>
      </c>
      <c r="J159" s="51"/>
    </row>
    <row r="160" spans="1:10">
      <c r="A160" s="619">
        <f t="shared" si="6"/>
        <v>149</v>
      </c>
      <c r="B160" s="1124">
        <f>+'Wrksht. F, CWIP Desc. EKC'!B159</f>
        <v>1000</v>
      </c>
      <c r="C160" s="1125" t="str">
        <f>+'Wrksht. F, CWIP Desc. EKC'!C159</f>
        <v>J00616801</v>
      </c>
      <c r="D160" s="1170">
        <v>-0.02</v>
      </c>
      <c r="E160" s="1196">
        <f>+'Wrksht. F, CWIP Desc. EKC'!D159</f>
        <v>0</v>
      </c>
      <c r="F160" s="1158">
        <v>42522</v>
      </c>
      <c r="G160" s="1158">
        <v>42491</v>
      </c>
      <c r="H160" s="1159">
        <v>0</v>
      </c>
      <c r="I160" s="1130">
        <f t="shared" si="9"/>
        <v>0</v>
      </c>
      <c r="J160" s="51"/>
    </row>
    <row r="161" spans="1:10">
      <c r="A161" s="619">
        <f t="shared" si="6"/>
        <v>150</v>
      </c>
      <c r="B161" s="1124">
        <f>+'Wrksht. F, CWIP Desc. EKC'!B160</f>
        <v>1000</v>
      </c>
      <c r="C161" s="1125" t="str">
        <f>+'Wrksht. F, CWIP Desc. EKC'!C160</f>
        <v>J00622001</v>
      </c>
      <c r="D161" s="1170">
        <v>-0.01</v>
      </c>
      <c r="E161" s="1196">
        <f>+'Wrksht. F, CWIP Desc. EKC'!D160</f>
        <v>0</v>
      </c>
      <c r="F161" s="1158">
        <v>42522</v>
      </c>
      <c r="G161" s="1158">
        <v>42705</v>
      </c>
      <c r="H161" s="1159">
        <v>0</v>
      </c>
      <c r="I161" s="1130">
        <f t="shared" si="9"/>
        <v>0</v>
      </c>
      <c r="J161" s="51"/>
    </row>
    <row r="162" spans="1:10">
      <c r="A162" s="619">
        <f t="shared" si="6"/>
        <v>151</v>
      </c>
      <c r="B162" s="1124">
        <f>+'Wrksht. F, CWIP Desc. EKC'!B161</f>
        <v>1000</v>
      </c>
      <c r="C162" s="1125" t="str">
        <f>+'Wrksht. F, CWIP Desc. EKC'!C161</f>
        <v>J00627402</v>
      </c>
      <c r="D162" s="1159">
        <v>1967268.34</v>
      </c>
      <c r="E162" s="1196">
        <f>+'Wrksht. F, CWIP Desc. EKC'!D161</f>
        <v>0</v>
      </c>
      <c r="F162" s="1158">
        <v>42522</v>
      </c>
      <c r="G162" s="1158">
        <v>42583</v>
      </c>
      <c r="H162" s="1159">
        <v>0</v>
      </c>
      <c r="I162" s="1130">
        <f t="shared" si="9"/>
        <v>0</v>
      </c>
      <c r="J162" s="51"/>
    </row>
    <row r="163" spans="1:10">
      <c r="A163" s="619">
        <f t="shared" si="6"/>
        <v>152</v>
      </c>
      <c r="B163" s="1124">
        <f>+'Wrksht. F, CWIP Desc. EKC'!B162</f>
        <v>1000</v>
      </c>
      <c r="C163" s="1125" t="str">
        <f>+'Wrksht. F, CWIP Desc. EKC'!C162</f>
        <v>J00712401</v>
      </c>
      <c r="D163" s="1170">
        <v>-0.02</v>
      </c>
      <c r="E163" s="1196">
        <f>+'Wrksht. F, CWIP Desc. EKC'!D162</f>
        <v>0</v>
      </c>
      <c r="F163" s="1158">
        <v>42522</v>
      </c>
      <c r="G163" s="1158">
        <v>42675</v>
      </c>
      <c r="H163" s="1159">
        <v>0</v>
      </c>
      <c r="I163" s="1130">
        <f t="shared" si="9"/>
        <v>0</v>
      </c>
      <c r="J163" s="51"/>
    </row>
    <row r="164" spans="1:10">
      <c r="A164" s="619">
        <f t="shared" si="6"/>
        <v>153</v>
      </c>
      <c r="B164" s="1124">
        <f>+'Wrksht. F, CWIP Desc. EKC'!B163</f>
        <v>1000</v>
      </c>
      <c r="C164" s="1125" t="str">
        <f>+'Wrksht. F, CWIP Desc. EKC'!C163</f>
        <v>J01030101</v>
      </c>
      <c r="D164" s="1159">
        <v>-2213.13</v>
      </c>
      <c r="E164" s="1196">
        <f>+'Wrksht. F, CWIP Desc. EKC'!D163</f>
        <v>0</v>
      </c>
      <c r="F164" s="1158">
        <v>42522</v>
      </c>
      <c r="G164" s="1158">
        <v>42430</v>
      </c>
      <c r="H164" s="1159">
        <v>0</v>
      </c>
      <c r="I164" s="1130">
        <f t="shared" si="9"/>
        <v>0</v>
      </c>
      <c r="J164" s="51"/>
    </row>
    <row r="165" spans="1:10">
      <c r="A165" s="619">
        <f t="shared" si="6"/>
        <v>154</v>
      </c>
      <c r="B165" s="1124">
        <f>+'Wrksht. F, CWIP Desc. EKC'!B164</f>
        <v>1000</v>
      </c>
      <c r="C165" s="1125" t="str">
        <f>+'Wrksht. F, CWIP Desc. EKC'!C164</f>
        <v>J01048001</v>
      </c>
      <c r="D165" s="1159">
        <v>1396684.23</v>
      </c>
      <c r="E165" s="1196">
        <f>+'Wrksht. F, CWIP Desc. EKC'!D164</f>
        <v>0</v>
      </c>
      <c r="F165" s="1158">
        <v>42522</v>
      </c>
      <c r="G165" s="1158">
        <v>42370</v>
      </c>
      <c r="H165" s="1159">
        <v>0</v>
      </c>
      <c r="I165" s="1130">
        <f t="shared" si="9"/>
        <v>0</v>
      </c>
      <c r="J165" s="51"/>
    </row>
    <row r="166" spans="1:10">
      <c r="A166" s="619">
        <f t="shared" si="6"/>
        <v>155</v>
      </c>
      <c r="B166" s="1124">
        <f>+'Wrksht. F, CWIP Desc. EKC'!B165</f>
        <v>1000</v>
      </c>
      <c r="C166" s="1125" t="str">
        <f>+'Wrksht. F, CWIP Desc. EKC'!C165</f>
        <v>J01089301</v>
      </c>
      <c r="D166" s="1159">
        <v>6849166.3899999997</v>
      </c>
      <c r="E166" s="1196">
        <f>+'Wrksht. F, CWIP Desc. EKC'!D165</f>
        <v>0</v>
      </c>
      <c r="F166" s="1158">
        <v>42522</v>
      </c>
      <c r="G166" s="1158">
        <v>43292</v>
      </c>
      <c r="H166" s="1159">
        <v>0</v>
      </c>
      <c r="I166" s="1130">
        <f t="shared" ref="I166:I172" si="10">IF((E166-H166)&lt;=1000000,-H166,E166-H166)</f>
        <v>0</v>
      </c>
      <c r="J166" s="51"/>
    </row>
    <row r="167" spans="1:10">
      <c r="A167" s="757">
        <f t="shared" si="6"/>
        <v>156</v>
      </c>
      <c r="B167" s="1124">
        <f>+'Wrksht. F, CWIP Desc. EKC'!B166</f>
        <v>1000</v>
      </c>
      <c r="C167" s="1171" t="str">
        <f>+'Wrksht. F, CWIP Desc. EKC'!C166</f>
        <v>J01090501</v>
      </c>
      <c r="D167" s="1160">
        <v>1409792.41</v>
      </c>
      <c r="E167" s="1206">
        <f>'Wrksht. F, CWIP Desc. EKC'!D166</f>
        <v>0</v>
      </c>
      <c r="F167" s="1161">
        <v>42887</v>
      </c>
      <c r="G167" s="1172">
        <v>42878</v>
      </c>
      <c r="H167" s="1160">
        <v>0</v>
      </c>
      <c r="I167" s="1127">
        <f t="shared" si="10"/>
        <v>0</v>
      </c>
      <c r="J167" s="51"/>
    </row>
    <row r="168" spans="1:10">
      <c r="A168" s="619">
        <f t="shared" si="6"/>
        <v>157</v>
      </c>
      <c r="B168" s="1124">
        <f>+'Wrksht. F, CWIP Desc. EKC'!B167</f>
        <v>1000</v>
      </c>
      <c r="C168" s="1125" t="str">
        <f>+'Wrksht. F, CWIP Desc. EKC'!C167</f>
        <v>J01081801</v>
      </c>
      <c r="D168" s="1159">
        <v>2362625.56</v>
      </c>
      <c r="E168" s="1207">
        <f>+'Wrksht. F, CWIP Desc. EKC'!D167</f>
        <v>0</v>
      </c>
      <c r="F168" s="1158">
        <v>42887</v>
      </c>
      <c r="G168" s="1158">
        <v>42767</v>
      </c>
      <c r="H168" s="1159">
        <v>0</v>
      </c>
      <c r="I168" s="1130">
        <f t="shared" si="10"/>
        <v>0</v>
      </c>
      <c r="J168" s="51"/>
    </row>
    <row r="169" spans="1:10">
      <c r="A169" s="619">
        <f t="shared" si="6"/>
        <v>158</v>
      </c>
      <c r="B169" s="1124">
        <f>+'Wrksht. F, CWIP Desc. EKC'!B168</f>
        <v>1000</v>
      </c>
      <c r="C169" s="1125" t="str">
        <f>+'Wrksht. F, CWIP Desc. EKC'!C168</f>
        <v>R01144001</v>
      </c>
      <c r="D169" s="1159">
        <v>2389284.14</v>
      </c>
      <c r="E169" s="1207">
        <f>+'Wrksht. F, CWIP Desc. EKC'!D168</f>
        <v>0</v>
      </c>
      <c r="F169" s="1158">
        <v>42887</v>
      </c>
      <c r="G169" s="1158">
        <v>42736</v>
      </c>
      <c r="H169" s="1159">
        <v>0</v>
      </c>
      <c r="I169" s="1130">
        <f t="shared" si="10"/>
        <v>0</v>
      </c>
      <c r="J169" s="51"/>
    </row>
    <row r="170" spans="1:10">
      <c r="A170" s="757">
        <f t="shared" si="6"/>
        <v>159</v>
      </c>
      <c r="B170" s="1124">
        <f>+'Wrksht. F, CWIP Desc. EKC'!B169</f>
        <v>1000</v>
      </c>
      <c r="C170" s="1125" t="str">
        <f>+'Wrksht. F, CWIP Desc. EKC'!C169</f>
        <v>R01328002</v>
      </c>
      <c r="D170" s="1160">
        <v>408667760.86000001</v>
      </c>
      <c r="E170" s="1206">
        <f>+'Wrksht. F, CWIP Desc. EKC'!D169</f>
        <v>0</v>
      </c>
      <c r="F170" s="1161">
        <v>42887</v>
      </c>
      <c r="G170" s="1161">
        <v>42767</v>
      </c>
      <c r="H170" s="1160">
        <v>0</v>
      </c>
      <c r="I170" s="1127">
        <f t="shared" si="10"/>
        <v>0</v>
      </c>
      <c r="J170" s="51"/>
    </row>
    <row r="171" spans="1:10">
      <c r="A171" s="757">
        <f>A170+1</f>
        <v>160</v>
      </c>
      <c r="B171" s="1124">
        <f>+'Wrksht. F, CWIP Desc. EKC'!B170</f>
        <v>1000</v>
      </c>
      <c r="C171" s="1197" t="str">
        <f>+'Wrksht. F, CWIP Desc. EKC'!C170</f>
        <v>J01412501</v>
      </c>
      <c r="D171" s="1160">
        <v>1928690.56</v>
      </c>
      <c r="E171" s="1205">
        <f>+'Wrksht. F, CWIP Desc. EKC'!D170</f>
        <v>0</v>
      </c>
      <c r="F171" s="1161">
        <v>43252</v>
      </c>
      <c r="G171" s="1161">
        <v>43322</v>
      </c>
      <c r="H171" s="1160">
        <v>0</v>
      </c>
      <c r="I171" s="1127">
        <f t="shared" si="10"/>
        <v>0</v>
      </c>
      <c r="J171" s="51"/>
    </row>
    <row r="172" spans="1:10">
      <c r="A172" s="619">
        <f t="shared" si="6"/>
        <v>161</v>
      </c>
      <c r="B172" s="1124">
        <f>+'Wrksht. F, CWIP Desc. EKC'!B171</f>
        <v>1000</v>
      </c>
      <c r="C172" s="1197" t="str">
        <f>+'Wrksht. F, CWIP Desc. EKC'!C171</f>
        <v>H19113101</v>
      </c>
      <c r="D172" s="1159">
        <v>2825011.93</v>
      </c>
      <c r="E172" s="1196">
        <f>+'Wrksht. F, CWIP Desc. EKC'!D171</f>
        <v>0</v>
      </c>
      <c r="F172" s="1161">
        <v>43252</v>
      </c>
      <c r="G172" s="1158">
        <v>43314</v>
      </c>
      <c r="H172" s="1159">
        <v>0</v>
      </c>
      <c r="I172" s="1130">
        <f t="shared" si="10"/>
        <v>0</v>
      </c>
      <c r="J172" s="51"/>
    </row>
    <row r="173" spans="1:10">
      <c r="A173" s="757">
        <f t="shared" si="6"/>
        <v>162</v>
      </c>
      <c r="B173" s="1124">
        <f>+'Wrksht. F, CWIP Desc. EKC'!B172</f>
        <v>10000</v>
      </c>
      <c r="C173" s="1197" t="str">
        <f>+'Wrksht. F, CWIP Desc. EKC'!C172</f>
        <v>H19176901</v>
      </c>
      <c r="D173" s="1160">
        <v>1439212.89</v>
      </c>
      <c r="E173" s="1205">
        <f>+'Wrksht. F, CWIP Desc. EKC'!D172</f>
        <v>0</v>
      </c>
      <c r="F173" s="1161">
        <v>43617</v>
      </c>
      <c r="G173" s="1161">
        <v>43664</v>
      </c>
      <c r="H173" s="1160">
        <v>0</v>
      </c>
      <c r="I173" s="1127">
        <f t="shared" ref="I173:I179" si="11">IF((E173-H173)&lt;=1000000,-H173,E173-H173)</f>
        <v>0</v>
      </c>
      <c r="J173" s="51"/>
    </row>
    <row r="174" spans="1:10">
      <c r="A174" s="619">
        <f t="shared" si="6"/>
        <v>163</v>
      </c>
      <c r="B174" s="1124">
        <f>+'Wrksht. F, CWIP Desc. EKC'!B173</f>
        <v>10000</v>
      </c>
      <c r="C174" s="1197" t="str">
        <f>+'Wrksht. F, CWIP Desc. EKC'!C173</f>
        <v>J00608001</v>
      </c>
      <c r="D174" s="1159">
        <v>1720513.79</v>
      </c>
      <c r="E174" s="1196">
        <f>+'Wrksht. F, CWIP Desc. EKC'!D173</f>
        <v>0</v>
      </c>
      <c r="F174" s="1161">
        <v>43617</v>
      </c>
      <c r="G174" s="1158">
        <v>43535</v>
      </c>
      <c r="H174" s="1159">
        <v>0</v>
      </c>
      <c r="I174" s="1130">
        <f t="shared" si="11"/>
        <v>0</v>
      </c>
      <c r="J174" s="51"/>
    </row>
    <row r="175" spans="1:10">
      <c r="A175" s="619">
        <f t="shared" si="6"/>
        <v>164</v>
      </c>
      <c r="B175" s="1124">
        <f>+'Wrksht. F, CWIP Desc. EKC'!B174</f>
        <v>10000</v>
      </c>
      <c r="C175" s="1197" t="str">
        <f>+'Wrksht. F, CWIP Desc. EKC'!C174</f>
        <v>J01412801</v>
      </c>
      <c r="D175" s="1159">
        <v>4679169.91</v>
      </c>
      <c r="E175" s="1196">
        <f>+'Wrksht. F, CWIP Desc. EKC'!D174</f>
        <v>0</v>
      </c>
      <c r="F175" s="1161">
        <v>43617</v>
      </c>
      <c r="G175" s="1158">
        <v>43615</v>
      </c>
      <c r="H175" s="1159">
        <v>0</v>
      </c>
      <c r="I175" s="1130">
        <f t="shared" si="11"/>
        <v>0</v>
      </c>
      <c r="J175" s="51"/>
    </row>
    <row r="176" spans="1:10">
      <c r="A176" s="619">
        <f t="shared" si="6"/>
        <v>165</v>
      </c>
      <c r="B176" s="1124">
        <f>+'Wrksht. F, CWIP Desc. EKC'!B175</f>
        <v>10000</v>
      </c>
      <c r="C176" s="1197" t="str">
        <f>+'Wrksht. F, CWIP Desc. EKC'!C175</f>
        <v>J19164801</v>
      </c>
      <c r="D176" s="1159">
        <v>189651.22</v>
      </c>
      <c r="E176" s="1128">
        <f>+'Wrksht. F, CWIP Desc. EKC'!D175</f>
        <v>0</v>
      </c>
      <c r="F176" s="1161">
        <v>43617</v>
      </c>
      <c r="G176" s="1161">
        <v>44595</v>
      </c>
      <c r="H176" s="1159">
        <v>0</v>
      </c>
      <c r="I176" s="1130">
        <f t="shared" si="11"/>
        <v>0</v>
      </c>
      <c r="J176" s="1307"/>
    </row>
    <row r="177" spans="1:10">
      <c r="A177" s="619">
        <f t="shared" si="6"/>
        <v>166</v>
      </c>
      <c r="B177" s="1124">
        <f>+'Wrksht. F, CWIP Desc. EKC'!B176</f>
        <v>10000</v>
      </c>
      <c r="C177" s="1197" t="str">
        <f>+'Wrksht. F, CWIP Desc. EKC'!C176</f>
        <v>J19182801</v>
      </c>
      <c r="D177" s="1159">
        <v>1133549.44</v>
      </c>
      <c r="E177" s="1196">
        <f>+'Wrksht. F, CWIP Desc. EKC'!D176</f>
        <v>0</v>
      </c>
      <c r="F177" s="1161">
        <v>43617</v>
      </c>
      <c r="G177" s="1158">
        <v>43677</v>
      </c>
      <c r="H177" s="1159">
        <v>0</v>
      </c>
      <c r="I177" s="1130">
        <f t="shared" si="11"/>
        <v>0</v>
      </c>
      <c r="J177" s="51"/>
    </row>
    <row r="178" spans="1:10">
      <c r="A178" s="619">
        <f t="shared" si="6"/>
        <v>167</v>
      </c>
      <c r="B178" s="1124">
        <f>+'Wrksht. F, CWIP Desc. EKC'!B177</f>
        <v>10000</v>
      </c>
      <c r="C178" s="1197" t="str">
        <f>+'Wrksht. F, CWIP Desc. EKC'!C177</f>
        <v>J19228401</v>
      </c>
      <c r="D178" s="1159">
        <v>2219.21</v>
      </c>
      <c r="E178" s="1196">
        <f>+'Wrksht. F, CWIP Desc. EKC'!D177</f>
        <v>0</v>
      </c>
      <c r="F178" s="1161">
        <v>43617</v>
      </c>
      <c r="G178" s="1158">
        <v>44258</v>
      </c>
      <c r="H178" s="1159">
        <v>0</v>
      </c>
      <c r="I178" s="1130">
        <f t="shared" si="11"/>
        <v>0</v>
      </c>
      <c r="J178" s="51"/>
    </row>
    <row r="179" spans="1:10">
      <c r="A179" s="619">
        <f t="shared" si="6"/>
        <v>168</v>
      </c>
      <c r="B179" s="1124">
        <f>+'Wrksht. F, CWIP Desc. EKC'!B178</f>
        <v>10000</v>
      </c>
      <c r="C179" s="1197" t="str">
        <f>+'Wrksht. F, CWIP Desc. EKC'!C178</f>
        <v>R19185601</v>
      </c>
      <c r="D179" s="1159">
        <v>2613900.06</v>
      </c>
      <c r="E179" s="1196">
        <f>+'Wrksht. F, CWIP Desc. EKC'!D178</f>
        <v>0</v>
      </c>
      <c r="F179" s="1161">
        <v>43617</v>
      </c>
      <c r="G179" s="1158">
        <v>43461</v>
      </c>
      <c r="H179" s="1159">
        <v>0</v>
      </c>
      <c r="I179" s="1130">
        <f t="shared" si="11"/>
        <v>0</v>
      </c>
      <c r="J179" s="51"/>
    </row>
    <row r="180" spans="1:10">
      <c r="A180" s="757">
        <f t="shared" si="6"/>
        <v>169</v>
      </c>
      <c r="B180" s="1124">
        <v>107000</v>
      </c>
      <c r="C180" s="1197" t="str">
        <f>+'Wrksht. F, CWIP Desc. EKC'!C179</f>
        <v>H19274901</v>
      </c>
      <c r="D180" s="1160">
        <v>1538189.19</v>
      </c>
      <c r="E180" s="1205">
        <f>+'Wrksht. F, CWIP Desc. EKC'!D179</f>
        <v>0</v>
      </c>
      <c r="F180" s="1161">
        <v>43983</v>
      </c>
      <c r="G180" s="1161">
        <v>43969</v>
      </c>
      <c r="H180" s="1159">
        <v>0</v>
      </c>
      <c r="I180" s="1127">
        <f t="shared" ref="I180:I186" si="12">IF((E180-H180)&lt;=1000000,-H180,E180-H180)</f>
        <v>0</v>
      </c>
      <c r="J180" s="51"/>
    </row>
    <row r="181" spans="1:10">
      <c r="A181" s="757">
        <f t="shared" si="6"/>
        <v>170</v>
      </c>
      <c r="B181" s="1124">
        <v>107000</v>
      </c>
      <c r="C181" s="1197" t="str">
        <f>+'Wrksht. F, CWIP Desc. EKC'!C180</f>
        <v>J19230301</v>
      </c>
      <c r="D181" s="1160">
        <v>7724575.7199999997</v>
      </c>
      <c r="E181" s="1205">
        <f>+'Wrksht. F, CWIP Desc. EKC'!D180</f>
        <v>0</v>
      </c>
      <c r="F181" s="1161">
        <v>43983</v>
      </c>
      <c r="G181" s="1158">
        <v>44258</v>
      </c>
      <c r="H181" s="1159">
        <v>0</v>
      </c>
      <c r="I181" s="1127">
        <f t="shared" si="12"/>
        <v>0</v>
      </c>
      <c r="J181" s="51"/>
    </row>
    <row r="182" spans="1:10">
      <c r="A182" s="619">
        <f t="shared" si="6"/>
        <v>171</v>
      </c>
      <c r="B182" s="1124">
        <v>107000</v>
      </c>
      <c r="C182" s="1197" t="str">
        <f>+'Wrksht. F, CWIP Desc. EKC'!C181</f>
        <v>J19154801</v>
      </c>
      <c r="D182" s="1160">
        <v>47017.31</v>
      </c>
      <c r="E182" s="1310">
        <f>+'Wrksht. F, CWIP Desc. EKC'!D181</f>
        <v>0</v>
      </c>
      <c r="F182" s="1161">
        <v>43983</v>
      </c>
      <c r="G182" s="1161">
        <v>44559</v>
      </c>
      <c r="H182" s="1159">
        <v>0</v>
      </c>
      <c r="I182" s="1127">
        <f t="shared" si="12"/>
        <v>0</v>
      </c>
      <c r="J182" s="51"/>
    </row>
    <row r="183" spans="1:10">
      <c r="A183" s="619">
        <f t="shared" si="6"/>
        <v>172</v>
      </c>
      <c r="B183" s="1124">
        <v>107000</v>
      </c>
      <c r="C183" s="1197" t="str">
        <f>+'Wrksht. F, CWIP Desc. EKC'!C182</f>
        <v>J192599011</v>
      </c>
      <c r="D183" s="1160">
        <v>4387235.1399999997</v>
      </c>
      <c r="E183" s="1310">
        <f>+'Wrksht. F, CWIP Desc. EKC'!D182</f>
        <v>4627100.4400000004</v>
      </c>
      <c r="F183" s="1161">
        <v>43983</v>
      </c>
      <c r="G183" s="1161"/>
      <c r="H183" s="1322">
        <v>107758.6</v>
      </c>
      <c r="I183" s="1127">
        <f t="shared" si="12"/>
        <v>4519341.8400000008</v>
      </c>
      <c r="J183" s="51"/>
    </row>
    <row r="184" spans="1:10">
      <c r="A184" s="619">
        <f t="shared" si="6"/>
        <v>173</v>
      </c>
      <c r="B184" s="1124">
        <v>107000</v>
      </c>
      <c r="C184" s="1197" t="str">
        <f>+'Wrksht. F, CWIP Desc. EKC'!C183</f>
        <v>J19306101</v>
      </c>
      <c r="D184" s="1160">
        <v>5097.04</v>
      </c>
      <c r="E184" s="1310">
        <f>+'Wrksht. F, CWIP Desc. EKC'!D183</f>
        <v>0</v>
      </c>
      <c r="F184" s="1161">
        <v>43983</v>
      </c>
      <c r="G184" s="1158">
        <v>44253</v>
      </c>
      <c r="H184" s="1159">
        <v>0</v>
      </c>
      <c r="I184" s="1127">
        <f t="shared" si="12"/>
        <v>0</v>
      </c>
      <c r="J184" s="51"/>
    </row>
    <row r="185" spans="1:10">
      <c r="A185" s="619">
        <f t="shared" si="6"/>
        <v>174</v>
      </c>
      <c r="B185" s="1124">
        <v>107000</v>
      </c>
      <c r="C185" s="1197" t="str">
        <f>+'Wrksht. F, CWIP Desc. EKC'!C184</f>
        <v>L19287801</v>
      </c>
      <c r="D185" s="1160">
        <v>1169501.6299999999</v>
      </c>
      <c r="E185" s="1310">
        <f>+'Wrksht. F, CWIP Desc. EKC'!D184</f>
        <v>0</v>
      </c>
      <c r="F185" s="1316">
        <v>43983</v>
      </c>
      <c r="G185" s="1320">
        <v>44196</v>
      </c>
      <c r="H185" s="1322">
        <v>0</v>
      </c>
      <c r="I185" s="1127">
        <f t="shared" si="12"/>
        <v>0</v>
      </c>
      <c r="J185" s="51"/>
    </row>
    <row r="186" spans="1:10">
      <c r="A186" s="619">
        <f t="shared" si="6"/>
        <v>175</v>
      </c>
      <c r="B186" s="1124">
        <v>107000</v>
      </c>
      <c r="C186" s="1197" t="str">
        <f>+'Wrksht. F, CWIP Desc. EKC'!C185</f>
        <v>H19334801</v>
      </c>
      <c r="D186" s="1160">
        <v>21695.119999999999</v>
      </c>
      <c r="E186" s="1310">
        <f>+'Wrksht. F, CWIP Desc. EKC'!D185</f>
        <v>0</v>
      </c>
      <c r="F186" s="1316">
        <v>43983</v>
      </c>
      <c r="G186" s="1316">
        <v>44564</v>
      </c>
      <c r="H186" s="1322">
        <v>0</v>
      </c>
      <c r="I186" s="1127">
        <f t="shared" si="12"/>
        <v>0</v>
      </c>
      <c r="J186" s="1307"/>
    </row>
    <row r="187" spans="1:10">
      <c r="A187" s="757">
        <f t="shared" si="6"/>
        <v>176</v>
      </c>
      <c r="B187" s="1124">
        <v>107000</v>
      </c>
      <c r="C187" s="1197" t="str">
        <f>+'Wrksht. F, CWIP Desc. EKC'!C186</f>
        <v>J19336701</v>
      </c>
      <c r="D187" s="1160">
        <v>5985.53</v>
      </c>
      <c r="E187" s="1310">
        <f>+'Wrksht. F, CWIP Desc. EKC'!D186</f>
        <v>0</v>
      </c>
      <c r="F187" s="1316">
        <v>44348</v>
      </c>
      <c r="G187" s="1316">
        <v>44277</v>
      </c>
      <c r="H187" s="1322">
        <v>0</v>
      </c>
      <c r="I187" s="1127">
        <f t="shared" ref="I187:I212" si="13">IF((E187-H187)&lt;=1000000,-H187,E187-H187)</f>
        <v>0</v>
      </c>
      <c r="J187" s="51"/>
    </row>
    <row r="188" spans="1:10">
      <c r="A188" s="619">
        <f t="shared" si="6"/>
        <v>177</v>
      </c>
      <c r="B188" s="1124">
        <v>107000</v>
      </c>
      <c r="C188" s="1197" t="str">
        <f>+'Wrksht. F, CWIP Desc. EKC'!C187</f>
        <v>J19337101</v>
      </c>
      <c r="D188" s="1160">
        <v>88141.01</v>
      </c>
      <c r="E188" s="1310">
        <f>+'Wrksht. F, CWIP Desc. EKC'!D187</f>
        <v>0</v>
      </c>
      <c r="F188" s="1316">
        <v>44348</v>
      </c>
      <c r="G188" s="1316">
        <v>44652</v>
      </c>
      <c r="H188" s="1322">
        <v>0</v>
      </c>
      <c r="I188" s="1127">
        <f t="shared" si="13"/>
        <v>0</v>
      </c>
      <c r="J188" s="51"/>
    </row>
    <row r="189" spans="1:10">
      <c r="A189" s="619">
        <f t="shared" si="6"/>
        <v>178</v>
      </c>
      <c r="B189" s="1124">
        <v>107000</v>
      </c>
      <c r="C189" s="1197" t="str">
        <f>+'Wrksht. F, CWIP Desc. EKC'!C188</f>
        <v>ORS0000101</v>
      </c>
      <c r="D189" s="1160">
        <v>3027757.18</v>
      </c>
      <c r="E189" s="1310">
        <f>+'Wrksht. F, CWIP Desc. EKC'!D188</f>
        <v>0</v>
      </c>
      <c r="F189" s="1316">
        <v>44348</v>
      </c>
      <c r="G189" s="1316">
        <v>44558</v>
      </c>
      <c r="H189" s="1322">
        <v>0</v>
      </c>
      <c r="I189" s="1127">
        <f t="shared" si="13"/>
        <v>0</v>
      </c>
      <c r="J189" s="51"/>
    </row>
    <row r="190" spans="1:10">
      <c r="A190" s="619">
        <f t="shared" si="6"/>
        <v>179</v>
      </c>
      <c r="B190" s="1124">
        <v>107000</v>
      </c>
      <c r="C190" s="1197" t="str">
        <f>+'Wrksht. F, CWIP Desc. EKC'!C189</f>
        <v>J19306301</v>
      </c>
      <c r="D190" s="1160">
        <v>1541311.1</v>
      </c>
      <c r="E190" s="1310">
        <f>+'Wrksht. F, CWIP Desc. EKC'!D189</f>
        <v>0</v>
      </c>
      <c r="F190" s="1316">
        <v>44348</v>
      </c>
      <c r="G190" s="1316">
        <v>44347</v>
      </c>
      <c r="H190" s="1322">
        <v>0</v>
      </c>
      <c r="I190" s="1127">
        <f t="shared" si="13"/>
        <v>0</v>
      </c>
      <c r="J190" s="51"/>
    </row>
    <row r="191" spans="1:10">
      <c r="A191" s="619">
        <f t="shared" si="6"/>
        <v>180</v>
      </c>
      <c r="B191" s="1124">
        <v>107000</v>
      </c>
      <c r="C191" s="1197" t="str">
        <f>+'Wrksht. F, CWIP Desc. EKC'!C190</f>
        <v>L19423301</v>
      </c>
      <c r="D191" s="1160">
        <v>8460.19</v>
      </c>
      <c r="E191" s="1310">
        <f>+'Wrksht. F, CWIP Desc. EKC'!D190</f>
        <v>0</v>
      </c>
      <c r="F191" s="1316">
        <v>44348</v>
      </c>
      <c r="G191" s="1316">
        <v>44440</v>
      </c>
      <c r="H191" s="1322">
        <v>0</v>
      </c>
      <c r="I191" s="1127">
        <f t="shared" si="13"/>
        <v>0</v>
      </c>
      <c r="J191" s="51"/>
    </row>
    <row r="192" spans="1:10">
      <c r="A192" s="619">
        <f t="shared" si="6"/>
        <v>181</v>
      </c>
      <c r="B192" s="1124">
        <v>107000</v>
      </c>
      <c r="C192" s="1197" t="str">
        <f>+'Wrksht. F, CWIP Desc. EKC'!C191</f>
        <v>J19262701</v>
      </c>
      <c r="D192" s="1160">
        <v>9408.36</v>
      </c>
      <c r="E192" s="1310">
        <f>+'Wrksht. F, CWIP Desc. EKC'!D191</f>
        <v>0</v>
      </c>
      <c r="F192" s="1316">
        <v>44348</v>
      </c>
      <c r="G192" s="1316">
        <v>44250</v>
      </c>
      <c r="H192" s="1322">
        <v>0</v>
      </c>
      <c r="I192" s="1127">
        <f t="shared" si="13"/>
        <v>0</v>
      </c>
      <c r="J192" s="51"/>
    </row>
    <row r="193" spans="1:10">
      <c r="A193" s="619">
        <f t="shared" si="6"/>
        <v>182</v>
      </c>
      <c r="B193" s="1124">
        <v>107000</v>
      </c>
      <c r="C193" s="1197" t="str">
        <f>+'Wrksht. F, CWIP Desc. EKC'!C192</f>
        <v>LRL0007101</v>
      </c>
      <c r="D193" s="1160">
        <v>29239.8</v>
      </c>
      <c r="E193" s="1310">
        <f>+'Wrksht. F, CWIP Desc. EKC'!D192</f>
        <v>0</v>
      </c>
      <c r="F193" s="1316">
        <v>44348</v>
      </c>
      <c r="G193" s="1316">
        <v>44560</v>
      </c>
      <c r="H193" s="1322">
        <v>0</v>
      </c>
      <c r="I193" s="1127">
        <f t="shared" si="13"/>
        <v>0</v>
      </c>
      <c r="J193" s="51"/>
    </row>
    <row r="194" spans="1:10">
      <c r="A194" s="619">
        <f t="shared" si="6"/>
        <v>183</v>
      </c>
      <c r="B194" s="1124">
        <v>107000</v>
      </c>
      <c r="C194" s="1197" t="str">
        <f>+'Wrksht. F, CWIP Desc. EKC'!C193</f>
        <v>JRJ0000901</v>
      </c>
      <c r="D194" s="1160">
        <v>1297558.57</v>
      </c>
      <c r="E194" s="1310">
        <f>+'Wrksht. F, CWIP Desc. EKC'!D193</f>
        <v>0</v>
      </c>
      <c r="F194" s="1316">
        <v>44348</v>
      </c>
      <c r="G194" s="1316">
        <v>44277</v>
      </c>
      <c r="H194" s="1322">
        <v>0</v>
      </c>
      <c r="I194" s="1127">
        <f t="shared" si="13"/>
        <v>0</v>
      </c>
      <c r="J194" s="51"/>
    </row>
    <row r="195" spans="1:10">
      <c r="A195" s="619">
        <f t="shared" ref="A195:A212" si="14">A194+1</f>
        <v>184</v>
      </c>
      <c r="B195" s="1124">
        <v>107000</v>
      </c>
      <c r="C195" s="1197" t="str">
        <f>+'Wrksht. F, CWIP Desc. EKC'!C194</f>
        <v>R19324301</v>
      </c>
      <c r="D195" s="1160">
        <v>22027.73</v>
      </c>
      <c r="E195" s="1310">
        <f>+'Wrksht. F, CWIP Desc. EKC'!D194</f>
        <v>0</v>
      </c>
      <c r="F195" s="1316">
        <v>44348</v>
      </c>
      <c r="G195" s="1316">
        <v>44659</v>
      </c>
      <c r="H195" s="1322">
        <v>0</v>
      </c>
      <c r="I195" s="1127">
        <f t="shared" si="13"/>
        <v>0</v>
      </c>
      <c r="J195" s="51"/>
    </row>
    <row r="196" spans="1:10">
      <c r="A196" s="757">
        <f t="shared" si="14"/>
        <v>185</v>
      </c>
      <c r="B196" s="1124">
        <v>107000</v>
      </c>
      <c r="C196" s="1197" t="str">
        <f>+'Wrksht. F, CWIP Desc. EKC'!C195</f>
        <v>J19259701</v>
      </c>
      <c r="D196" s="1160">
        <v>6564853.0499999998</v>
      </c>
      <c r="E196" s="1310">
        <f>+'Wrksht. F, CWIP Desc. EKC'!D195</f>
        <v>0</v>
      </c>
      <c r="F196" s="1316">
        <v>44348</v>
      </c>
      <c r="G196" s="1316">
        <v>44926</v>
      </c>
      <c r="H196" s="1315">
        <v>0</v>
      </c>
      <c r="I196" s="1127">
        <f t="shared" si="13"/>
        <v>0</v>
      </c>
      <c r="J196" s="51"/>
    </row>
    <row r="197" spans="1:10">
      <c r="A197" s="757">
        <f t="shared" si="14"/>
        <v>186</v>
      </c>
      <c r="B197" s="1124">
        <v>107000</v>
      </c>
      <c r="C197" s="1197" t="str">
        <f>+'Wrksht. F, CWIP Desc. EKC'!C196</f>
        <v>JRJ0009901</v>
      </c>
      <c r="D197" s="1315">
        <v>1314335.79</v>
      </c>
      <c r="E197" s="1310">
        <f>+'Wrksht. F, CWIP Desc. EKC'!D196</f>
        <v>0</v>
      </c>
      <c r="F197" s="1316">
        <v>44713</v>
      </c>
      <c r="G197" s="1316">
        <v>44621</v>
      </c>
      <c r="H197" s="1315">
        <v>0</v>
      </c>
      <c r="I197" s="1127">
        <f t="shared" si="13"/>
        <v>0</v>
      </c>
      <c r="J197" s="51"/>
    </row>
    <row r="198" spans="1:10">
      <c r="A198" s="619">
        <f t="shared" si="14"/>
        <v>187</v>
      </c>
      <c r="B198" s="1124">
        <v>107000</v>
      </c>
      <c r="C198" s="1197" t="str">
        <f>+'Wrksht. F, CWIP Desc. EKC'!C197</f>
        <v>J19442701</v>
      </c>
      <c r="D198" s="1315">
        <v>4317321.74</v>
      </c>
      <c r="E198" s="1310">
        <f>+'Wrksht. F, CWIP Desc. EKC'!D197</f>
        <v>6851476.6299999999</v>
      </c>
      <c r="F198" s="1316">
        <v>44713</v>
      </c>
      <c r="G198" s="1316"/>
      <c r="H198" s="1322">
        <v>77746.5</v>
      </c>
      <c r="I198" s="1127">
        <f t="shared" si="13"/>
        <v>6773730.1299999999</v>
      </c>
      <c r="J198" s="51"/>
    </row>
    <row r="199" spans="1:10">
      <c r="A199" s="619">
        <f t="shared" si="14"/>
        <v>188</v>
      </c>
      <c r="B199" s="1124">
        <v>107000</v>
      </c>
      <c r="C199" s="1197" t="str">
        <f>+'Wrksht. F, CWIP Desc. EKC'!C198</f>
        <v>J19396201</v>
      </c>
      <c r="D199" s="1315">
        <v>3079087.88</v>
      </c>
      <c r="E199" s="1310">
        <f>+'Wrksht. F, CWIP Desc. EKC'!D198</f>
        <v>3240963.86</v>
      </c>
      <c r="F199" s="1316">
        <v>44713</v>
      </c>
      <c r="G199" s="1316"/>
      <c r="H199" s="1322">
        <v>39578.300000000003</v>
      </c>
      <c r="I199" s="1127">
        <f t="shared" si="13"/>
        <v>3201385.56</v>
      </c>
      <c r="J199" s="51"/>
    </row>
    <row r="200" spans="1:10">
      <c r="A200" s="619">
        <f t="shared" si="14"/>
        <v>189</v>
      </c>
      <c r="B200" s="1124">
        <v>107000</v>
      </c>
      <c r="C200" s="1197" t="str">
        <f>+'Wrksht. F, CWIP Desc. EKC'!C199</f>
        <v>J19323601</v>
      </c>
      <c r="D200" s="1315">
        <v>2332351.29</v>
      </c>
      <c r="E200" s="1310">
        <f>+'Wrksht. F, CWIP Desc. EKC'!D199</f>
        <v>0</v>
      </c>
      <c r="F200" s="1316">
        <v>44713</v>
      </c>
      <c r="G200" s="1316">
        <v>45077</v>
      </c>
      <c r="H200" s="1322">
        <v>0</v>
      </c>
      <c r="I200" s="1127">
        <f t="shared" si="13"/>
        <v>0</v>
      </c>
      <c r="J200" s="51"/>
    </row>
    <row r="201" spans="1:10">
      <c r="A201" s="619">
        <f t="shared" si="14"/>
        <v>190</v>
      </c>
      <c r="B201" s="1124">
        <v>107000</v>
      </c>
      <c r="C201" s="1197" t="str">
        <f>+'Wrksht. F, CWIP Desc. EKC'!C200</f>
        <v>G51951901</v>
      </c>
      <c r="D201" s="1315">
        <v>2461407.7400000002</v>
      </c>
      <c r="E201" s="1310">
        <f>+'Wrksht. F, CWIP Desc. EKC'!D200</f>
        <v>0</v>
      </c>
      <c r="F201" s="1316">
        <v>44713</v>
      </c>
      <c r="G201" s="1316">
        <v>44908</v>
      </c>
      <c r="H201" s="1315">
        <v>0</v>
      </c>
      <c r="I201" s="1127">
        <f t="shared" si="13"/>
        <v>0</v>
      </c>
      <c r="J201" s="51"/>
    </row>
    <row r="202" spans="1:10">
      <c r="A202" s="619">
        <f t="shared" si="14"/>
        <v>191</v>
      </c>
      <c r="B202" s="1124" t="s">
        <v>3376</v>
      </c>
      <c r="C202" s="1197" t="str">
        <f>+'Wrksht. F, CWIP Desc. EKC'!C201</f>
        <v>GRG0001001</v>
      </c>
      <c r="D202" s="1315">
        <v>1182814</v>
      </c>
      <c r="E202" s="1310">
        <f>+'Wrksht. F, CWIP Desc. EKC'!D201</f>
        <v>0</v>
      </c>
      <c r="F202" s="1316">
        <v>45078</v>
      </c>
      <c r="G202" s="1316">
        <v>45291</v>
      </c>
      <c r="H202" s="1315">
        <v>0</v>
      </c>
      <c r="I202" s="1127">
        <f t="shared" si="13"/>
        <v>0</v>
      </c>
      <c r="J202" s="51"/>
    </row>
    <row r="203" spans="1:10">
      <c r="A203" s="619">
        <f t="shared" si="14"/>
        <v>192</v>
      </c>
      <c r="B203" s="1124" t="s">
        <v>3376</v>
      </c>
      <c r="C203" s="1197" t="str">
        <f>+'Wrksht. F, CWIP Desc. EKC'!C202</f>
        <v>J19312201</v>
      </c>
      <c r="D203" s="1315">
        <v>1243253.97</v>
      </c>
      <c r="E203" s="1310">
        <f>+'Wrksht. F, CWIP Desc. EKC'!D202</f>
        <v>0</v>
      </c>
      <c r="F203" s="1316">
        <v>45078</v>
      </c>
      <c r="G203" s="1316">
        <v>45216</v>
      </c>
      <c r="H203" s="1315">
        <v>0</v>
      </c>
      <c r="I203" s="1127">
        <f t="shared" si="13"/>
        <v>0</v>
      </c>
      <c r="J203" s="51"/>
    </row>
    <row r="204" spans="1:10">
      <c r="A204" s="619">
        <f t="shared" si="14"/>
        <v>193</v>
      </c>
      <c r="B204" s="1124" t="s">
        <v>3376</v>
      </c>
      <c r="C204" s="1197" t="str">
        <f>+'Wrksht. F, CWIP Desc. EKC'!C203</f>
        <v>J19397401</v>
      </c>
      <c r="D204" s="1315">
        <v>1276852.6200000001</v>
      </c>
      <c r="E204" s="1310">
        <f>+'Wrksht. F, CWIP Desc. EKC'!D203</f>
        <v>0</v>
      </c>
      <c r="F204" s="1316">
        <v>45078</v>
      </c>
      <c r="G204" s="1316">
        <v>45280</v>
      </c>
      <c r="H204" s="1315">
        <v>0</v>
      </c>
      <c r="I204" s="1127">
        <f t="shared" si="13"/>
        <v>0</v>
      </c>
      <c r="J204" s="51"/>
    </row>
    <row r="205" spans="1:10">
      <c r="A205" s="619">
        <f t="shared" si="14"/>
        <v>194</v>
      </c>
      <c r="B205" s="1124" t="s">
        <v>3376</v>
      </c>
      <c r="C205" s="1197" t="str">
        <f>+'Wrksht. F, CWIP Desc. EKC'!C204</f>
        <v>J19440101</v>
      </c>
      <c r="D205" s="1315">
        <v>2311415.7999999998</v>
      </c>
      <c r="E205" s="1310">
        <f>+'Wrksht. F, CWIP Desc. EKC'!D204</f>
        <v>5684030.4100000001</v>
      </c>
      <c r="F205" s="1316">
        <v>45078</v>
      </c>
      <c r="G205" s="1316"/>
      <c r="H205" s="1315">
        <v>36549</v>
      </c>
      <c r="I205" s="1127">
        <f t="shared" si="13"/>
        <v>5647481.4100000001</v>
      </c>
      <c r="J205" s="51"/>
    </row>
    <row r="206" spans="1:10">
      <c r="A206" s="619">
        <f t="shared" si="14"/>
        <v>195</v>
      </c>
      <c r="B206" s="1124" t="s">
        <v>3376</v>
      </c>
      <c r="C206" s="1197" t="str">
        <f>+'Wrksht. F, CWIP Desc. EKC'!C205</f>
        <v>JRJ0017501</v>
      </c>
      <c r="D206" s="1315">
        <v>5685686.6900000004</v>
      </c>
      <c r="E206" s="1310">
        <f>+'Wrksht. F, CWIP Desc. EKC'!D205</f>
        <v>91510777.910000011</v>
      </c>
      <c r="F206" s="1316">
        <v>45078</v>
      </c>
      <c r="G206" s="1316">
        <v>45297</v>
      </c>
      <c r="H206" s="1315">
        <v>0</v>
      </c>
      <c r="I206" s="1127">
        <f t="shared" si="13"/>
        <v>91510777.910000011</v>
      </c>
      <c r="J206" s="51"/>
    </row>
    <row r="207" spans="1:10" ht="13.8" thickBot="1">
      <c r="A207" s="1542">
        <f t="shared" si="14"/>
        <v>196</v>
      </c>
      <c r="B207" s="1543" t="s">
        <v>3376</v>
      </c>
      <c r="C207" s="1544" t="str">
        <f>+'Wrksht. F, CWIP Desc. EKC'!C206</f>
        <v>LRL0001301</v>
      </c>
      <c r="D207" s="1545">
        <v>2454816.8199999998</v>
      </c>
      <c r="E207" s="1546">
        <f>+'Wrksht. F, CWIP Desc. EKC'!D206</f>
        <v>0</v>
      </c>
      <c r="F207" s="1547">
        <v>45078</v>
      </c>
      <c r="G207" s="1547">
        <v>44896</v>
      </c>
      <c r="H207" s="1545">
        <v>0</v>
      </c>
      <c r="I207" s="1548">
        <f t="shared" si="13"/>
        <v>0</v>
      </c>
      <c r="J207" s="51"/>
    </row>
    <row r="208" spans="1:10" ht="13.8" thickTop="1">
      <c r="A208" s="899">
        <f t="shared" si="14"/>
        <v>197</v>
      </c>
      <c r="B208" s="1234" t="s">
        <v>3376</v>
      </c>
      <c r="C208" s="1235" t="str">
        <f>+'Wrksht. F, CWIP Desc. EKC'!C207</f>
        <v>HRH0000701</v>
      </c>
      <c r="D208" s="1236"/>
      <c r="E208" s="1237">
        <f>+'Wrksht. F, CWIP Desc. EKC'!D207</f>
        <v>2205714.16</v>
      </c>
      <c r="F208" s="1238"/>
      <c r="G208" s="1238"/>
      <c r="H208" s="1236"/>
      <c r="I208" s="1239">
        <f t="shared" si="13"/>
        <v>2205714.16</v>
      </c>
      <c r="J208" s="51"/>
    </row>
    <row r="209" spans="1:10">
      <c r="A209" s="899">
        <f t="shared" si="14"/>
        <v>198</v>
      </c>
      <c r="B209" s="1234" t="s">
        <v>3376</v>
      </c>
      <c r="C209" s="1235" t="str">
        <f>+'Wrksht. F, CWIP Desc. EKC'!C208</f>
        <v>J19393201</v>
      </c>
      <c r="D209" s="1236"/>
      <c r="E209" s="1237">
        <f>+'Wrksht. F, CWIP Desc. EKC'!D208</f>
        <v>2411581.46</v>
      </c>
      <c r="F209" s="1238"/>
      <c r="G209" s="1238"/>
      <c r="H209" s="1236"/>
      <c r="I209" s="1239">
        <f t="shared" si="13"/>
        <v>2411581.46</v>
      </c>
      <c r="J209" s="51"/>
    </row>
    <row r="210" spans="1:10">
      <c r="A210" s="899">
        <f t="shared" si="14"/>
        <v>199</v>
      </c>
      <c r="B210" s="1234" t="s">
        <v>3376</v>
      </c>
      <c r="C210" s="1235" t="str">
        <f>+'Wrksht. F, CWIP Desc. EKC'!C209</f>
        <v>JRJ0019201</v>
      </c>
      <c r="D210" s="1236"/>
      <c r="E210" s="1237">
        <f>+'Wrksht. F, CWIP Desc. EKC'!D209</f>
        <v>1228395</v>
      </c>
      <c r="F210" s="1238"/>
      <c r="G210" s="1238"/>
      <c r="H210" s="1236"/>
      <c r="I210" s="1239">
        <f t="shared" si="13"/>
        <v>1228395</v>
      </c>
      <c r="J210" s="51"/>
    </row>
    <row r="211" spans="1:10">
      <c r="A211" s="899">
        <f t="shared" si="14"/>
        <v>200</v>
      </c>
      <c r="B211" s="1234" t="s">
        <v>3376</v>
      </c>
      <c r="C211" s="1235" t="str">
        <f>+'Wrksht. F, CWIP Desc. EKC'!C210</f>
        <v>JRJ0020001</v>
      </c>
      <c r="D211" s="1236"/>
      <c r="E211" s="1237">
        <f>+'Wrksht. F, CWIP Desc. EKC'!D210</f>
        <v>1228577.8900000001</v>
      </c>
      <c r="F211" s="1238"/>
      <c r="G211" s="1238"/>
      <c r="H211" s="1236"/>
      <c r="I211" s="1239">
        <f t="shared" si="13"/>
        <v>1228577.8900000001</v>
      </c>
      <c r="J211" s="51"/>
    </row>
    <row r="212" spans="1:10">
      <c r="A212" s="899">
        <f t="shared" si="14"/>
        <v>201</v>
      </c>
      <c r="B212" s="1234" t="s">
        <v>3376</v>
      </c>
      <c r="C212" s="1235" t="str">
        <f>+'Wrksht. F, CWIP Desc. EKC'!C211</f>
        <v>JRJ0024201</v>
      </c>
      <c r="D212" s="1236"/>
      <c r="E212" s="1237">
        <f>+'Wrksht. F, CWIP Desc. EKC'!D211</f>
        <v>1183229.21</v>
      </c>
      <c r="F212" s="1238"/>
      <c r="G212" s="1238"/>
      <c r="H212" s="1236"/>
      <c r="I212" s="1239">
        <f t="shared" si="13"/>
        <v>1183229.21</v>
      </c>
      <c r="J212" s="51"/>
    </row>
    <row r="213" spans="1:10">
      <c r="A213" s="619"/>
      <c r="B213" s="1124"/>
      <c r="C213" s="1125"/>
      <c r="D213" s="1129"/>
      <c r="E213" s="1128"/>
      <c r="F213" s="1129"/>
      <c r="G213" s="1129"/>
      <c r="H213" s="1189" t="s">
        <v>476</v>
      </c>
      <c r="I213" s="1130"/>
      <c r="J213" s="51"/>
    </row>
    <row r="214" spans="1:10" ht="7.5" customHeight="1">
      <c r="A214" s="296"/>
      <c r="J214" s="51"/>
    </row>
    <row r="215" spans="1:10">
      <c r="B215" s="116" t="s">
        <v>1571</v>
      </c>
      <c r="J215" s="51"/>
    </row>
    <row r="216" spans="1:10" ht="2.25" customHeight="1">
      <c r="J216" s="51"/>
    </row>
    <row r="217" spans="1:10">
      <c r="B217" s="117">
        <v>1</v>
      </c>
      <c r="C217" s="9" t="s">
        <v>2271</v>
      </c>
      <c r="J217" s="51"/>
    </row>
    <row r="218" spans="1:10" ht="2.25" customHeight="1">
      <c r="J218" s="51"/>
    </row>
    <row r="219" spans="1:10">
      <c r="B219" s="117">
        <v>2</v>
      </c>
      <c r="C219" s="9" t="s">
        <v>2270</v>
      </c>
      <c r="J219" s="51"/>
    </row>
    <row r="220" spans="1:10">
      <c r="A220" s="50"/>
      <c r="B220" s="50"/>
      <c r="C220" s="51"/>
      <c r="D220" s="51"/>
      <c r="E220" s="51"/>
      <c r="F220" s="51"/>
      <c r="G220" s="51"/>
      <c r="H220" s="51"/>
      <c r="I220" s="51"/>
      <c r="J220" s="51"/>
    </row>
    <row r="221" spans="1:10">
      <c r="A221" s="50"/>
      <c r="B221" s="50"/>
      <c r="C221" s="51"/>
      <c r="D221" s="51"/>
      <c r="E221" s="51"/>
      <c r="F221" s="51"/>
      <c r="G221" s="51"/>
      <c r="H221" s="51"/>
      <c r="I221" s="51"/>
      <c r="J221" s="51"/>
    </row>
    <row r="222" spans="1:10">
      <c r="A222" s="50"/>
      <c r="B222" s="50"/>
      <c r="C222" s="51"/>
      <c r="D222" s="51"/>
      <c r="E222" s="51"/>
      <c r="F222" s="51"/>
      <c r="G222" s="51"/>
      <c r="H222" s="51"/>
      <c r="I222" s="51"/>
      <c r="J222" s="51"/>
    </row>
    <row r="223" spans="1:10">
      <c r="A223" s="50"/>
      <c r="B223" s="50"/>
      <c r="C223" s="51"/>
      <c r="D223" s="51"/>
      <c r="E223" s="51"/>
      <c r="F223" s="51"/>
      <c r="G223" s="51"/>
      <c r="H223" s="51"/>
      <c r="I223" s="51"/>
      <c r="J223" s="51"/>
    </row>
    <row r="224" spans="1:10">
      <c r="A224" s="50"/>
      <c r="B224" s="50"/>
      <c r="C224" s="51"/>
      <c r="D224" s="51"/>
      <c r="E224" s="51"/>
      <c r="F224" s="51"/>
      <c r="G224" s="51"/>
      <c r="H224" s="51"/>
      <c r="I224" s="51"/>
      <c r="J224" s="51"/>
    </row>
    <row r="225" spans="1:10">
      <c r="A225" s="50"/>
      <c r="B225" s="50"/>
      <c r="C225" s="51"/>
      <c r="D225" s="51"/>
      <c r="E225" s="51"/>
      <c r="F225" s="51"/>
      <c r="G225" s="51"/>
      <c r="H225" s="51"/>
      <c r="I225" s="51"/>
      <c r="J225" s="51"/>
    </row>
    <row r="226" spans="1:10">
      <c r="A226" s="50"/>
      <c r="B226" s="50"/>
      <c r="C226" s="51"/>
      <c r="D226" s="51"/>
      <c r="E226" s="51"/>
      <c r="F226" s="51"/>
      <c r="G226" s="51"/>
      <c r="H226" s="51"/>
      <c r="I226" s="51"/>
      <c r="J226" s="51"/>
    </row>
    <row r="227" spans="1:10">
      <c r="A227" s="50"/>
      <c r="B227" s="50"/>
      <c r="C227" s="51"/>
      <c r="D227" s="51"/>
      <c r="E227" s="51"/>
      <c r="F227" s="51"/>
      <c r="G227" s="51"/>
      <c r="H227" s="51"/>
      <c r="I227" s="51"/>
      <c r="J227" s="51"/>
    </row>
    <row r="228" spans="1:10">
      <c r="A228" s="50"/>
      <c r="B228" s="50"/>
      <c r="C228" s="51"/>
      <c r="D228" s="51"/>
      <c r="E228" s="51"/>
      <c r="F228" s="51"/>
      <c r="G228" s="51"/>
      <c r="H228" s="51"/>
      <c r="I228" s="51"/>
      <c r="J228" s="51"/>
    </row>
    <row r="229" spans="1:10">
      <c r="A229" s="50"/>
      <c r="B229" s="50"/>
      <c r="C229" s="51"/>
      <c r="D229" s="51"/>
      <c r="E229" s="51"/>
      <c r="F229" s="51"/>
      <c r="G229" s="51"/>
      <c r="H229" s="51"/>
      <c r="I229" s="51"/>
      <c r="J229" s="51"/>
    </row>
    <row r="230" spans="1:10">
      <c r="A230" s="50"/>
      <c r="B230" s="50"/>
      <c r="C230" s="51"/>
      <c r="D230" s="51"/>
      <c r="E230" s="51"/>
      <c r="F230" s="51"/>
      <c r="G230" s="51"/>
      <c r="H230" s="51"/>
      <c r="I230" s="51"/>
      <c r="J230" s="51"/>
    </row>
    <row r="231" spans="1:10">
      <c r="A231" s="50"/>
      <c r="B231" s="50"/>
      <c r="C231" s="51"/>
      <c r="D231" s="51"/>
      <c r="E231" s="51"/>
      <c r="F231" s="51"/>
      <c r="G231" s="51"/>
      <c r="H231" s="51"/>
      <c r="I231" s="51"/>
      <c r="J231" s="51"/>
    </row>
    <row r="232" spans="1:10">
      <c r="A232" s="50"/>
      <c r="B232" s="50"/>
      <c r="C232" s="51"/>
      <c r="D232" s="51"/>
      <c r="E232" s="51"/>
      <c r="F232" s="51"/>
      <c r="G232" s="51"/>
      <c r="H232" s="51"/>
      <c r="I232" s="51"/>
      <c r="J232" s="51"/>
    </row>
    <row r="233" spans="1:10">
      <c r="A233" s="50"/>
      <c r="B233" s="50"/>
      <c r="C233" s="51"/>
      <c r="D233" s="51"/>
      <c r="E233" s="51"/>
      <c r="F233" s="51"/>
      <c r="G233" s="51"/>
      <c r="H233" s="51"/>
      <c r="I233" s="51"/>
      <c r="J233" s="51"/>
    </row>
    <row r="234" spans="1:10">
      <c r="A234" s="50"/>
      <c r="B234" s="50"/>
      <c r="C234" s="51"/>
      <c r="D234" s="51"/>
      <c r="E234" s="51"/>
      <c r="F234" s="51"/>
      <c r="G234" s="51"/>
      <c r="H234" s="51"/>
      <c r="I234" s="51"/>
      <c r="J234" s="51"/>
    </row>
    <row r="235" spans="1:10">
      <c r="A235" s="50"/>
      <c r="B235" s="50"/>
      <c r="C235" s="51"/>
      <c r="D235" s="51"/>
      <c r="E235" s="51"/>
      <c r="F235" s="51"/>
      <c r="G235" s="51"/>
      <c r="H235" s="51"/>
      <c r="I235" s="51"/>
      <c r="J235" s="51"/>
    </row>
    <row r="236" spans="1:10">
      <c r="A236" s="50"/>
      <c r="B236" s="50"/>
      <c r="C236" s="51"/>
      <c r="D236" s="51"/>
      <c r="E236" s="51"/>
      <c r="F236" s="51"/>
      <c r="G236" s="51"/>
      <c r="H236" s="51"/>
      <c r="I236" s="51"/>
      <c r="J236" s="51"/>
    </row>
    <row r="237" spans="1:10">
      <c r="A237" s="50"/>
      <c r="B237" s="50"/>
      <c r="C237" s="51"/>
      <c r="D237" s="51"/>
      <c r="E237" s="51"/>
      <c r="F237" s="51"/>
      <c r="G237" s="51"/>
      <c r="H237" s="51"/>
      <c r="I237" s="51"/>
      <c r="J237" s="51"/>
    </row>
    <row r="238" spans="1:10">
      <c r="A238" s="50"/>
      <c r="B238" s="50"/>
      <c r="C238" s="51"/>
      <c r="D238" s="51"/>
      <c r="E238" s="51"/>
      <c r="F238" s="51"/>
      <c r="G238" s="51"/>
      <c r="H238" s="51"/>
      <c r="I238" s="51"/>
      <c r="J238" s="51"/>
    </row>
    <row r="239" spans="1:10">
      <c r="A239" s="50"/>
      <c r="B239" s="50"/>
      <c r="C239" s="51"/>
      <c r="D239" s="51"/>
      <c r="E239" s="51"/>
      <c r="F239" s="51"/>
      <c r="G239" s="51"/>
      <c r="H239" s="51"/>
      <c r="I239" s="51"/>
      <c r="J239" s="51"/>
    </row>
    <row r="240" spans="1:10">
      <c r="A240" s="50"/>
      <c r="B240" s="50"/>
      <c r="C240" s="51"/>
      <c r="D240" s="51"/>
      <c r="E240" s="51"/>
      <c r="F240" s="51"/>
      <c r="G240" s="51"/>
      <c r="H240" s="51"/>
      <c r="I240" s="51"/>
      <c r="J240" s="51"/>
    </row>
    <row r="241" spans="1:10">
      <c r="A241" s="50"/>
      <c r="B241" s="50"/>
      <c r="C241" s="51"/>
      <c r="D241" s="51"/>
      <c r="E241" s="51"/>
      <c r="F241" s="51"/>
      <c r="G241" s="51"/>
      <c r="H241" s="51"/>
      <c r="I241" s="51"/>
      <c r="J241" s="51"/>
    </row>
    <row r="242" spans="1:10">
      <c r="A242" s="50"/>
      <c r="B242" s="50"/>
      <c r="C242" s="51"/>
      <c r="D242" s="51"/>
      <c r="E242" s="51"/>
      <c r="F242" s="51"/>
      <c r="G242" s="51"/>
      <c r="H242" s="51"/>
      <c r="I242" s="51"/>
      <c r="J242" s="51"/>
    </row>
    <row r="243" spans="1:10">
      <c r="A243" s="50"/>
      <c r="B243" s="50"/>
      <c r="C243" s="51"/>
      <c r="D243" s="51"/>
      <c r="E243" s="51"/>
      <c r="F243" s="51"/>
      <c r="G243" s="51"/>
      <c r="H243" s="51"/>
      <c r="I243" s="51"/>
      <c r="J243" s="51"/>
    </row>
    <row r="244" spans="1:10">
      <c r="A244" s="50"/>
      <c r="B244" s="50"/>
      <c r="C244" s="51"/>
      <c r="D244" s="51"/>
      <c r="E244" s="51"/>
      <c r="F244" s="51"/>
      <c r="G244" s="51"/>
      <c r="H244" s="51"/>
      <c r="I244" s="51"/>
      <c r="J244" s="51"/>
    </row>
    <row r="245" spans="1:10">
      <c r="A245" s="50"/>
      <c r="B245" s="50"/>
      <c r="C245" s="51"/>
      <c r="D245" s="51"/>
      <c r="E245" s="51"/>
      <c r="F245" s="51"/>
      <c r="G245" s="51"/>
      <c r="H245" s="51"/>
      <c r="I245" s="51"/>
      <c r="J245" s="51"/>
    </row>
    <row r="246" spans="1:10">
      <c r="A246" s="50"/>
      <c r="B246" s="50"/>
      <c r="C246" s="51"/>
      <c r="D246" s="51"/>
      <c r="E246" s="51"/>
      <c r="F246" s="51"/>
      <c r="G246" s="51"/>
      <c r="H246" s="51"/>
      <c r="I246" s="51"/>
      <c r="J246" s="51"/>
    </row>
    <row r="247" spans="1:10">
      <c r="A247" s="50"/>
      <c r="B247" s="50"/>
      <c r="C247" s="51"/>
      <c r="D247" s="51"/>
      <c r="E247" s="51"/>
      <c r="F247" s="51"/>
      <c r="G247" s="51"/>
      <c r="H247" s="51"/>
      <c r="I247" s="51"/>
      <c r="J247" s="51"/>
    </row>
    <row r="248" spans="1:10">
      <c r="A248" s="50"/>
      <c r="B248" s="50"/>
      <c r="C248" s="51"/>
      <c r="D248" s="51"/>
      <c r="E248" s="51"/>
      <c r="F248" s="51"/>
      <c r="G248" s="51"/>
      <c r="H248" s="51"/>
      <c r="I248" s="51"/>
      <c r="J248" s="51"/>
    </row>
    <row r="249" spans="1:10">
      <c r="A249" s="50"/>
      <c r="B249" s="50"/>
      <c r="C249" s="51"/>
      <c r="D249" s="51"/>
      <c r="E249" s="51"/>
      <c r="F249" s="51"/>
      <c r="G249" s="51"/>
      <c r="H249" s="51"/>
      <c r="I249" s="51"/>
      <c r="J249" s="51"/>
    </row>
    <row r="250" spans="1:10">
      <c r="A250" s="50"/>
      <c r="B250" s="50"/>
      <c r="C250" s="51"/>
      <c r="D250" s="51"/>
      <c r="E250" s="51"/>
      <c r="F250" s="51"/>
      <c r="G250" s="51"/>
      <c r="H250" s="51"/>
      <c r="I250" s="51"/>
      <c r="J250" s="51"/>
    </row>
    <row r="251" spans="1:10">
      <c r="A251" s="50"/>
      <c r="B251" s="50"/>
      <c r="C251" s="51"/>
      <c r="D251" s="51"/>
      <c r="E251" s="51"/>
      <c r="F251" s="51"/>
      <c r="G251" s="51"/>
      <c r="H251" s="51"/>
      <c r="I251" s="51"/>
      <c r="J251" s="51"/>
    </row>
    <row r="252" spans="1:10">
      <c r="A252" s="50"/>
      <c r="B252" s="50"/>
      <c r="C252" s="51"/>
      <c r="D252" s="51"/>
      <c r="E252" s="51"/>
      <c r="F252" s="51"/>
      <c r="G252" s="51"/>
      <c r="H252" s="51"/>
      <c r="I252" s="51"/>
      <c r="J252" s="51"/>
    </row>
    <row r="253" spans="1:10">
      <c r="A253" s="50"/>
      <c r="B253" s="50"/>
      <c r="C253" s="51"/>
      <c r="D253" s="51"/>
      <c r="E253" s="51"/>
      <c r="F253" s="51"/>
      <c r="G253" s="51"/>
      <c r="H253" s="51"/>
      <c r="I253" s="51"/>
      <c r="J253" s="51"/>
    </row>
    <row r="254" spans="1:10">
      <c r="A254" s="50"/>
      <c r="B254" s="50"/>
      <c r="C254" s="51"/>
      <c r="D254" s="51"/>
      <c r="E254" s="51"/>
      <c r="F254" s="51"/>
      <c r="G254" s="51"/>
      <c r="H254" s="51"/>
      <c r="I254" s="51"/>
      <c r="J254" s="51"/>
    </row>
    <row r="255" spans="1:10">
      <c r="A255" s="50"/>
      <c r="B255" s="50"/>
      <c r="C255" s="51"/>
      <c r="D255" s="51"/>
      <c r="E255" s="51"/>
      <c r="F255" s="51"/>
      <c r="G255" s="51"/>
      <c r="H255" s="51"/>
      <c r="I255" s="51"/>
      <c r="J255" s="51"/>
    </row>
    <row r="256" spans="1:10">
      <c r="A256" s="50"/>
      <c r="B256" s="50"/>
      <c r="C256" s="51"/>
      <c r="D256" s="51"/>
      <c r="E256" s="51"/>
      <c r="F256" s="51"/>
      <c r="G256" s="51"/>
      <c r="H256" s="51"/>
      <c r="I256" s="51"/>
      <c r="J256" s="51"/>
    </row>
    <row r="257" spans="1:10">
      <c r="A257" s="50"/>
      <c r="B257" s="50"/>
      <c r="C257" s="51"/>
      <c r="D257" s="51"/>
      <c r="E257" s="51"/>
      <c r="F257" s="51"/>
      <c r="G257" s="51"/>
      <c r="H257" s="51"/>
      <c r="I257" s="51"/>
      <c r="J257" s="51"/>
    </row>
    <row r="258" spans="1:10">
      <c r="A258" s="50"/>
      <c r="B258" s="50"/>
      <c r="C258" s="51"/>
      <c r="D258" s="51"/>
      <c r="E258" s="51"/>
      <c r="F258" s="51"/>
      <c r="G258" s="51"/>
      <c r="H258" s="51"/>
      <c r="I258" s="51"/>
      <c r="J258" s="51"/>
    </row>
    <row r="259" spans="1:10">
      <c r="A259" s="50"/>
      <c r="B259" s="50"/>
      <c r="C259" s="51"/>
      <c r="D259" s="51"/>
      <c r="E259" s="51"/>
      <c r="F259" s="51"/>
      <c r="G259" s="51"/>
      <c r="H259" s="51"/>
      <c r="I259" s="51"/>
      <c r="J259" s="51"/>
    </row>
    <row r="260" spans="1:10">
      <c r="A260" s="50"/>
      <c r="B260" s="50"/>
      <c r="C260" s="51"/>
      <c r="D260" s="51"/>
      <c r="E260" s="51"/>
      <c r="F260" s="51"/>
      <c r="G260" s="51"/>
      <c r="H260" s="51"/>
      <c r="I260" s="51"/>
      <c r="J260" s="51"/>
    </row>
    <row r="261" spans="1:10">
      <c r="A261" s="50"/>
      <c r="B261" s="50"/>
      <c r="C261" s="51"/>
      <c r="D261" s="51"/>
      <c r="E261" s="51"/>
      <c r="F261" s="51"/>
      <c r="G261" s="51"/>
      <c r="H261" s="51"/>
      <c r="I261" s="51"/>
      <c r="J261" s="51"/>
    </row>
    <row r="262" spans="1:10">
      <c r="A262" s="50"/>
      <c r="B262" s="50"/>
      <c r="C262" s="51"/>
      <c r="D262" s="51"/>
      <c r="E262" s="51"/>
      <c r="F262" s="51"/>
      <c r="G262" s="51"/>
      <c r="H262" s="51"/>
      <c r="I262" s="51"/>
      <c r="J262" s="51"/>
    </row>
    <row r="263" spans="1:10">
      <c r="A263" s="50"/>
      <c r="B263" s="50"/>
      <c r="C263" s="51"/>
      <c r="D263" s="51"/>
      <c r="E263" s="51"/>
      <c r="F263" s="51"/>
      <c r="G263" s="51"/>
      <c r="H263" s="51"/>
      <c r="I263" s="51"/>
      <c r="J263" s="51"/>
    </row>
    <row r="264" spans="1:10">
      <c r="A264" s="50"/>
      <c r="B264" s="50"/>
      <c r="C264" s="51"/>
      <c r="D264" s="51"/>
      <c r="E264" s="51"/>
      <c r="F264" s="51"/>
      <c r="G264" s="51"/>
      <c r="H264" s="51"/>
      <c r="I264" s="51"/>
      <c r="J264" s="51"/>
    </row>
    <row r="265" spans="1:10">
      <c r="A265" s="50"/>
      <c r="B265" s="50"/>
      <c r="C265" s="51"/>
      <c r="D265" s="51"/>
      <c r="E265" s="51"/>
      <c r="F265" s="51"/>
      <c r="G265" s="51"/>
      <c r="H265" s="51"/>
      <c r="I265" s="51"/>
      <c r="J265" s="51"/>
    </row>
    <row r="266" spans="1:10">
      <c r="A266" s="50"/>
      <c r="B266" s="50"/>
      <c r="C266" s="51"/>
      <c r="D266" s="51"/>
      <c r="E266" s="51"/>
      <c r="F266" s="51"/>
      <c r="G266" s="51"/>
      <c r="H266" s="51"/>
      <c r="I266" s="51"/>
      <c r="J266" s="51"/>
    </row>
    <row r="267" spans="1:10">
      <c r="A267" s="50"/>
      <c r="B267" s="50"/>
      <c r="C267" s="51"/>
      <c r="D267" s="51"/>
      <c r="E267" s="51"/>
      <c r="F267" s="51"/>
      <c r="G267" s="51"/>
      <c r="H267" s="51"/>
      <c r="I267" s="51"/>
      <c r="J267" s="51"/>
    </row>
    <row r="268" spans="1:10">
      <c r="A268" s="50"/>
      <c r="B268" s="50"/>
      <c r="C268" s="51"/>
      <c r="D268" s="51"/>
      <c r="E268" s="51"/>
      <c r="F268" s="51"/>
      <c r="G268" s="51"/>
      <c r="H268" s="51"/>
      <c r="I268" s="51"/>
      <c r="J268" s="51"/>
    </row>
    <row r="269" spans="1:10">
      <c r="A269" s="50"/>
      <c r="B269" s="50"/>
      <c r="C269" s="51"/>
      <c r="D269" s="51"/>
      <c r="E269" s="51"/>
      <c r="F269" s="51"/>
      <c r="G269" s="51"/>
      <c r="H269" s="51"/>
      <c r="I269" s="51"/>
      <c r="J269" s="51"/>
    </row>
    <row r="270" spans="1:10">
      <c r="A270" s="50"/>
      <c r="B270" s="50"/>
      <c r="C270" s="51"/>
      <c r="D270" s="51"/>
      <c r="E270" s="51"/>
      <c r="F270" s="51"/>
      <c r="G270" s="51"/>
      <c r="H270" s="51"/>
      <c r="I270" s="51"/>
      <c r="J270" s="51"/>
    </row>
    <row r="271" spans="1:10">
      <c r="A271" s="50"/>
      <c r="B271" s="50"/>
      <c r="C271" s="51"/>
      <c r="D271" s="51"/>
      <c r="E271" s="51"/>
      <c r="F271" s="51"/>
      <c r="G271" s="51"/>
      <c r="H271" s="51"/>
      <c r="I271" s="51"/>
      <c r="J271" s="51"/>
    </row>
    <row r="272" spans="1:10">
      <c r="A272" s="50"/>
      <c r="B272" s="50"/>
      <c r="C272" s="51"/>
      <c r="D272" s="51"/>
      <c r="E272" s="51"/>
      <c r="F272" s="51"/>
      <c r="G272" s="51"/>
      <c r="H272" s="51"/>
      <c r="I272" s="51"/>
      <c r="J272" s="51"/>
    </row>
    <row r="273" spans="1:10">
      <c r="A273" s="50"/>
      <c r="B273" s="50"/>
      <c r="C273" s="51"/>
      <c r="D273" s="51"/>
      <c r="E273" s="51"/>
      <c r="F273" s="51"/>
      <c r="G273" s="51"/>
      <c r="H273" s="51"/>
      <c r="I273" s="51"/>
      <c r="J273" s="51"/>
    </row>
    <row r="274" spans="1:10">
      <c r="A274" s="50"/>
      <c r="B274" s="50"/>
      <c r="C274" s="51"/>
      <c r="D274" s="51"/>
      <c r="E274" s="51"/>
      <c r="F274" s="51"/>
      <c r="G274" s="51"/>
      <c r="H274" s="51"/>
      <c r="I274" s="51"/>
      <c r="J274" s="51"/>
    </row>
    <row r="275" spans="1:10">
      <c r="A275" s="50"/>
      <c r="B275" s="50"/>
      <c r="C275" s="51"/>
      <c r="D275" s="51"/>
      <c r="E275" s="51"/>
      <c r="F275" s="51"/>
      <c r="G275" s="51"/>
      <c r="H275" s="51"/>
      <c r="I275" s="51"/>
      <c r="J275" s="51"/>
    </row>
    <row r="276" spans="1:10">
      <c r="A276" s="50"/>
      <c r="B276" s="50"/>
      <c r="C276" s="51"/>
      <c r="D276" s="51"/>
      <c r="E276" s="51"/>
      <c r="F276" s="51"/>
      <c r="G276" s="51"/>
      <c r="H276" s="51"/>
      <c r="I276" s="51"/>
      <c r="J276" s="51"/>
    </row>
    <row r="277" spans="1:10">
      <c r="A277" s="50"/>
      <c r="B277" s="50"/>
      <c r="C277" s="51"/>
      <c r="D277" s="51"/>
      <c r="E277" s="51"/>
      <c r="F277" s="51"/>
      <c r="G277" s="51"/>
      <c r="H277" s="51"/>
      <c r="I277" s="51"/>
      <c r="J277" s="51"/>
    </row>
    <row r="278" spans="1:10">
      <c r="A278" s="50"/>
      <c r="B278" s="50"/>
      <c r="C278" s="51"/>
      <c r="D278" s="51"/>
      <c r="E278" s="51"/>
      <c r="F278" s="51"/>
      <c r="G278" s="51"/>
      <c r="H278" s="51"/>
      <c r="I278" s="51"/>
      <c r="J278" s="51"/>
    </row>
    <row r="279" spans="1:10">
      <c r="A279" s="50"/>
      <c r="B279" s="50"/>
      <c r="C279" s="51"/>
      <c r="D279" s="51"/>
      <c r="E279" s="51"/>
      <c r="F279" s="51"/>
      <c r="G279" s="51"/>
      <c r="H279" s="51"/>
      <c r="I279" s="51"/>
      <c r="J279" s="51"/>
    </row>
    <row r="280" spans="1:10">
      <c r="A280" s="50"/>
      <c r="B280" s="50"/>
      <c r="C280" s="51"/>
      <c r="D280" s="51"/>
      <c r="E280" s="51"/>
      <c r="F280" s="51"/>
      <c r="G280" s="51"/>
      <c r="H280" s="51"/>
      <c r="I280" s="51"/>
      <c r="J280" s="51"/>
    </row>
    <row r="281" spans="1:10">
      <c r="A281" s="50"/>
      <c r="B281" s="50"/>
      <c r="C281" s="51"/>
      <c r="D281" s="51"/>
      <c r="E281" s="51"/>
      <c r="F281" s="51"/>
      <c r="G281" s="51"/>
      <c r="H281" s="51"/>
      <c r="I281" s="51"/>
      <c r="J281" s="51"/>
    </row>
    <row r="282" spans="1:10">
      <c r="A282" s="50"/>
      <c r="B282" s="50"/>
      <c r="C282" s="51"/>
      <c r="D282" s="51"/>
      <c r="E282" s="51"/>
      <c r="F282" s="51"/>
      <c r="G282" s="51"/>
      <c r="H282" s="51"/>
      <c r="I282" s="51"/>
      <c r="J282" s="51"/>
    </row>
    <row r="283" spans="1:10">
      <c r="A283" s="50"/>
      <c r="B283" s="50"/>
      <c r="C283" s="51"/>
      <c r="D283" s="51"/>
      <c r="E283" s="51"/>
      <c r="F283" s="51"/>
      <c r="G283" s="51"/>
      <c r="H283" s="51"/>
      <c r="I283" s="51"/>
      <c r="J283" s="51"/>
    </row>
    <row r="284" spans="1:10">
      <c r="A284" s="50"/>
      <c r="B284" s="50"/>
      <c r="C284" s="51"/>
      <c r="D284" s="51"/>
      <c r="E284" s="51"/>
      <c r="F284" s="51"/>
      <c r="G284" s="51"/>
      <c r="H284" s="51"/>
      <c r="I284" s="51"/>
      <c r="J284" s="51"/>
    </row>
    <row r="285" spans="1:10">
      <c r="A285" s="50"/>
      <c r="B285" s="50"/>
      <c r="C285" s="51"/>
      <c r="D285" s="51"/>
      <c r="E285" s="51"/>
      <c r="F285" s="51"/>
      <c r="G285" s="51"/>
      <c r="H285" s="51"/>
      <c r="I285" s="51"/>
      <c r="J285" s="51"/>
    </row>
    <row r="286" spans="1:10">
      <c r="A286" s="50"/>
      <c r="B286" s="50"/>
      <c r="C286" s="51"/>
      <c r="D286" s="51"/>
      <c r="E286" s="51"/>
      <c r="F286" s="51"/>
      <c r="G286" s="51"/>
      <c r="H286" s="51"/>
      <c r="I286" s="51"/>
      <c r="J286" s="51"/>
    </row>
    <row r="287" spans="1:10">
      <c r="A287" s="50"/>
      <c r="B287" s="50"/>
      <c r="C287" s="51"/>
      <c r="D287" s="51"/>
      <c r="E287" s="51"/>
      <c r="F287" s="51"/>
      <c r="G287" s="51"/>
      <c r="H287" s="51"/>
      <c r="I287" s="51"/>
      <c r="J287" s="51"/>
    </row>
    <row r="288" spans="1:10">
      <c r="A288" s="50"/>
      <c r="B288" s="50"/>
      <c r="C288" s="51"/>
      <c r="D288" s="51"/>
      <c r="E288" s="51"/>
      <c r="F288" s="51"/>
      <c r="G288" s="51"/>
      <c r="H288" s="51"/>
      <c r="I288" s="51"/>
      <c r="J288" s="51"/>
    </row>
    <row r="289" spans="1:10">
      <c r="A289" s="50"/>
      <c r="B289" s="50"/>
      <c r="C289" s="51"/>
      <c r="D289" s="51"/>
      <c r="E289" s="51"/>
      <c r="F289" s="51"/>
      <c r="G289" s="51"/>
      <c r="H289" s="51"/>
      <c r="I289" s="51"/>
      <c r="J289" s="51"/>
    </row>
    <row r="290" spans="1:10">
      <c r="A290" s="50"/>
      <c r="B290" s="50"/>
      <c r="C290" s="51"/>
      <c r="D290" s="51"/>
      <c r="E290" s="51"/>
      <c r="F290" s="51"/>
      <c r="G290" s="51"/>
      <c r="H290" s="51"/>
      <c r="I290" s="51"/>
      <c r="J290" s="51"/>
    </row>
    <row r="291" spans="1:10">
      <c r="A291" s="50"/>
      <c r="B291" s="50"/>
      <c r="C291" s="51"/>
      <c r="D291" s="51"/>
      <c r="E291" s="51"/>
      <c r="F291" s="51"/>
      <c r="G291" s="51"/>
      <c r="H291" s="51"/>
      <c r="I291" s="51"/>
      <c r="J291" s="51"/>
    </row>
    <row r="292" spans="1:10">
      <c r="A292" s="50"/>
      <c r="B292" s="50"/>
      <c r="C292" s="51"/>
      <c r="D292" s="51"/>
      <c r="E292" s="51"/>
      <c r="F292" s="51"/>
      <c r="G292" s="51"/>
      <c r="H292" s="51"/>
      <c r="I292" s="51"/>
      <c r="J292" s="51"/>
    </row>
    <row r="293" spans="1:10">
      <c r="A293" s="50"/>
      <c r="B293" s="50"/>
      <c r="C293" s="51"/>
      <c r="D293" s="51"/>
      <c r="E293" s="51"/>
      <c r="F293" s="51"/>
      <c r="G293" s="51"/>
      <c r="H293" s="51"/>
      <c r="I293" s="51"/>
      <c r="J293" s="51"/>
    </row>
    <row r="294" spans="1:10">
      <c r="A294" s="50"/>
      <c r="B294" s="50"/>
      <c r="C294" s="51"/>
      <c r="D294" s="51"/>
      <c r="E294" s="51"/>
      <c r="F294" s="51"/>
      <c r="G294" s="51"/>
      <c r="H294" s="51"/>
      <c r="I294" s="51"/>
      <c r="J294" s="51"/>
    </row>
    <row r="295" spans="1:10">
      <c r="A295" s="50"/>
      <c r="B295" s="50"/>
      <c r="C295" s="51"/>
      <c r="D295" s="51"/>
      <c r="E295" s="51"/>
      <c r="F295" s="51"/>
      <c r="G295" s="51"/>
      <c r="H295" s="51"/>
      <c r="I295" s="51"/>
      <c r="J295" s="51"/>
    </row>
    <row r="296" spans="1:10">
      <c r="A296" s="50"/>
      <c r="B296" s="50"/>
      <c r="C296" s="51"/>
      <c r="D296" s="51"/>
      <c r="E296" s="51"/>
      <c r="F296" s="51"/>
      <c r="G296" s="51"/>
      <c r="H296" s="51"/>
      <c r="I296" s="51"/>
      <c r="J296" s="51"/>
    </row>
    <row r="297" spans="1:10">
      <c r="A297" s="50"/>
      <c r="B297" s="50"/>
      <c r="C297" s="51"/>
      <c r="D297" s="51"/>
      <c r="E297" s="51"/>
      <c r="F297" s="51"/>
      <c r="G297" s="51"/>
      <c r="H297" s="51"/>
      <c r="I297" s="51"/>
      <c r="J297" s="51"/>
    </row>
    <row r="298" spans="1:10">
      <c r="A298" s="50"/>
      <c r="B298" s="50"/>
      <c r="C298" s="51"/>
      <c r="D298" s="51"/>
      <c r="E298" s="51"/>
      <c r="F298" s="51"/>
      <c r="G298" s="51"/>
      <c r="H298" s="51"/>
      <c r="I298" s="51"/>
      <c r="J298" s="51"/>
    </row>
    <row r="299" spans="1:10">
      <c r="A299" s="50"/>
      <c r="B299" s="50"/>
      <c r="C299" s="51"/>
      <c r="D299" s="51"/>
      <c r="E299" s="51"/>
      <c r="F299" s="51"/>
      <c r="G299" s="51"/>
      <c r="H299" s="51"/>
      <c r="I299" s="51"/>
      <c r="J299" s="51"/>
    </row>
    <row r="300" spans="1:10">
      <c r="A300" s="50"/>
      <c r="B300" s="50"/>
      <c r="C300" s="51"/>
      <c r="D300" s="51"/>
      <c r="E300" s="51"/>
      <c r="F300" s="51"/>
      <c r="G300" s="51"/>
      <c r="H300" s="51"/>
      <c r="I300" s="51"/>
      <c r="J300" s="51"/>
    </row>
    <row r="301" spans="1:10">
      <c r="A301" s="50"/>
      <c r="B301" s="50"/>
      <c r="C301" s="51"/>
      <c r="D301" s="51"/>
      <c r="E301" s="51"/>
      <c r="F301" s="51"/>
      <c r="G301" s="51"/>
      <c r="H301" s="51"/>
      <c r="I301" s="51"/>
      <c r="J301" s="51"/>
    </row>
    <row r="302" spans="1:10">
      <c r="A302" s="50"/>
      <c r="B302" s="50"/>
      <c r="C302" s="51"/>
      <c r="D302" s="51"/>
      <c r="E302" s="51"/>
      <c r="F302" s="51"/>
      <c r="G302" s="51"/>
      <c r="H302" s="51"/>
      <c r="I302" s="51"/>
      <c r="J302" s="51"/>
    </row>
    <row r="303" spans="1:10">
      <c r="A303" s="50"/>
      <c r="B303" s="50"/>
      <c r="C303" s="51"/>
      <c r="D303" s="51"/>
      <c r="E303" s="51"/>
      <c r="F303" s="51"/>
      <c r="G303" s="51"/>
      <c r="H303" s="51"/>
      <c r="I303" s="51"/>
      <c r="J303" s="51"/>
    </row>
    <row r="304" spans="1:10">
      <c r="A304" s="50"/>
      <c r="B304" s="50"/>
      <c r="C304" s="51"/>
      <c r="D304" s="51"/>
      <c r="E304" s="51"/>
      <c r="F304" s="51"/>
      <c r="G304" s="51"/>
      <c r="H304" s="51"/>
      <c r="I304" s="51"/>
      <c r="J304" s="51"/>
    </row>
    <row r="305" spans="1:10">
      <c r="A305" s="50"/>
      <c r="B305" s="50"/>
      <c r="C305" s="51"/>
      <c r="D305" s="51"/>
      <c r="E305" s="51"/>
      <c r="F305" s="51"/>
      <c r="G305" s="51"/>
      <c r="H305" s="51"/>
      <c r="I305" s="51"/>
      <c r="J305" s="51"/>
    </row>
    <row r="306" spans="1:10">
      <c r="A306" s="50"/>
      <c r="B306" s="50"/>
      <c r="C306" s="51"/>
      <c r="D306" s="51"/>
      <c r="E306" s="51"/>
      <c r="F306" s="51"/>
      <c r="G306" s="51"/>
      <c r="H306" s="51"/>
      <c r="I306" s="51"/>
      <c r="J306" s="51"/>
    </row>
    <row r="307" spans="1:10">
      <c r="A307" s="50"/>
      <c r="B307" s="50"/>
      <c r="C307" s="51"/>
      <c r="D307" s="51"/>
      <c r="E307" s="51"/>
      <c r="F307" s="51"/>
      <c r="G307" s="51"/>
      <c r="H307" s="51"/>
      <c r="I307" s="51"/>
      <c r="J307" s="51"/>
    </row>
    <row r="308" spans="1:10">
      <c r="A308" s="50"/>
      <c r="B308" s="50"/>
      <c r="C308" s="51"/>
      <c r="D308" s="51"/>
      <c r="E308" s="51"/>
      <c r="F308" s="51"/>
      <c r="G308" s="51"/>
      <c r="H308" s="51"/>
      <c r="I308" s="51"/>
      <c r="J308" s="51"/>
    </row>
    <row r="309" spans="1:10">
      <c r="A309" s="50"/>
      <c r="B309" s="50"/>
      <c r="C309" s="51"/>
      <c r="D309" s="51"/>
      <c r="E309" s="51"/>
      <c r="F309" s="51"/>
      <c r="G309" s="51"/>
      <c r="H309" s="51"/>
      <c r="I309" s="51"/>
      <c r="J309" s="51"/>
    </row>
    <row r="310" spans="1:10">
      <c r="A310" s="50"/>
      <c r="B310" s="50"/>
      <c r="C310" s="51"/>
      <c r="D310" s="51"/>
      <c r="E310" s="51"/>
      <c r="F310" s="51"/>
      <c r="G310" s="51"/>
      <c r="H310" s="51"/>
      <c r="I310" s="51"/>
      <c r="J310" s="51"/>
    </row>
    <row r="311" spans="1:10">
      <c r="A311" s="50"/>
      <c r="B311" s="50"/>
      <c r="C311" s="51"/>
      <c r="D311" s="51"/>
      <c r="E311" s="51"/>
      <c r="F311" s="51"/>
      <c r="G311" s="51"/>
      <c r="H311" s="51"/>
      <c r="I311" s="51"/>
      <c r="J311" s="51"/>
    </row>
    <row r="312" spans="1:10">
      <c r="A312" s="50"/>
      <c r="B312" s="50"/>
      <c r="C312" s="51"/>
      <c r="D312" s="51"/>
      <c r="E312" s="51"/>
      <c r="F312" s="51"/>
      <c r="G312" s="51"/>
      <c r="H312" s="51"/>
      <c r="I312" s="51"/>
      <c r="J312" s="51"/>
    </row>
    <row r="313" spans="1:10">
      <c r="A313" s="50"/>
      <c r="B313" s="50"/>
      <c r="C313" s="51"/>
      <c r="D313" s="51"/>
      <c r="E313" s="51"/>
      <c r="F313" s="51"/>
      <c r="G313" s="51"/>
      <c r="H313" s="51"/>
      <c r="I313" s="51"/>
      <c r="J313" s="51"/>
    </row>
    <row r="314" spans="1:10">
      <c r="A314" s="50"/>
      <c r="B314" s="50"/>
      <c r="C314" s="51"/>
      <c r="D314" s="51"/>
      <c r="E314" s="51"/>
      <c r="F314" s="51"/>
      <c r="G314" s="51"/>
      <c r="H314" s="51"/>
      <c r="I314" s="51"/>
      <c r="J314" s="51"/>
    </row>
    <row r="315" spans="1:10">
      <c r="A315" s="50"/>
      <c r="B315" s="50"/>
      <c r="C315" s="51"/>
      <c r="D315" s="51"/>
      <c r="E315" s="51"/>
      <c r="F315" s="51"/>
      <c r="G315" s="51"/>
      <c r="H315" s="51"/>
      <c r="I315" s="51"/>
      <c r="J315" s="51"/>
    </row>
    <row r="316" spans="1:10">
      <c r="A316" s="50"/>
      <c r="B316" s="50"/>
      <c r="C316" s="51"/>
      <c r="D316" s="51"/>
      <c r="E316" s="51"/>
      <c r="F316" s="51"/>
      <c r="G316" s="51"/>
      <c r="H316" s="51"/>
      <c r="I316" s="51"/>
      <c r="J316" s="51"/>
    </row>
    <row r="317" spans="1:10">
      <c r="A317" s="50"/>
      <c r="B317" s="50"/>
      <c r="C317" s="51"/>
      <c r="D317" s="51"/>
      <c r="E317" s="51"/>
      <c r="F317" s="51"/>
      <c r="G317" s="51"/>
      <c r="H317" s="51"/>
      <c r="I317" s="51"/>
      <c r="J317" s="51"/>
    </row>
    <row r="318" spans="1:10">
      <c r="A318" s="50"/>
      <c r="B318" s="50"/>
      <c r="C318" s="51"/>
      <c r="D318" s="51"/>
      <c r="E318" s="51"/>
      <c r="F318" s="51"/>
      <c r="G318" s="51"/>
      <c r="H318" s="51"/>
      <c r="I318" s="51"/>
      <c r="J318" s="51"/>
    </row>
    <row r="319" spans="1:10">
      <c r="A319" s="50"/>
      <c r="B319" s="50"/>
      <c r="C319" s="51"/>
      <c r="D319" s="51"/>
      <c r="E319" s="51"/>
      <c r="F319" s="51"/>
      <c r="G319" s="51"/>
      <c r="H319" s="51"/>
      <c r="I319" s="51"/>
      <c r="J319" s="51"/>
    </row>
    <row r="320" spans="1:10">
      <c r="A320" s="50"/>
      <c r="B320" s="50"/>
      <c r="C320" s="51"/>
      <c r="D320" s="51"/>
      <c r="E320" s="51"/>
      <c r="F320" s="51"/>
      <c r="G320" s="51"/>
      <c r="H320" s="51"/>
      <c r="I320" s="51"/>
      <c r="J320" s="51"/>
    </row>
    <row r="321" spans="1:10">
      <c r="A321" s="50"/>
      <c r="B321" s="50"/>
      <c r="C321" s="51"/>
      <c r="D321" s="51"/>
      <c r="E321" s="51"/>
      <c r="F321" s="51"/>
      <c r="G321" s="51"/>
      <c r="H321" s="51"/>
      <c r="I321" s="51"/>
      <c r="J321" s="51"/>
    </row>
    <row r="322" spans="1:10">
      <c r="A322" s="50"/>
      <c r="B322" s="50"/>
      <c r="C322" s="51"/>
      <c r="D322" s="51"/>
      <c r="E322" s="51"/>
      <c r="F322" s="51"/>
      <c r="G322" s="51"/>
      <c r="H322" s="51"/>
      <c r="I322" s="51"/>
      <c r="J322" s="51"/>
    </row>
    <row r="323" spans="1:10">
      <c r="A323" s="50"/>
      <c r="B323" s="50"/>
      <c r="C323" s="51"/>
      <c r="D323" s="51"/>
      <c r="E323" s="51"/>
      <c r="F323" s="51"/>
      <c r="G323" s="51"/>
      <c r="H323" s="51"/>
      <c r="I323" s="51"/>
      <c r="J323" s="51"/>
    </row>
    <row r="324" spans="1:10">
      <c r="A324" s="50"/>
      <c r="B324" s="50"/>
      <c r="C324" s="51"/>
      <c r="D324" s="51"/>
      <c r="E324" s="51"/>
      <c r="F324" s="51"/>
      <c r="G324" s="51"/>
      <c r="H324" s="51"/>
      <c r="I324" s="51"/>
      <c r="J324" s="51"/>
    </row>
    <row r="325" spans="1:10">
      <c r="A325" s="50"/>
      <c r="B325" s="50"/>
      <c r="C325" s="51"/>
      <c r="D325" s="51"/>
      <c r="E325" s="51"/>
      <c r="F325" s="51"/>
      <c r="G325" s="51"/>
      <c r="H325" s="51"/>
      <c r="I325" s="51"/>
      <c r="J325" s="51"/>
    </row>
    <row r="326" spans="1:10">
      <c r="A326" s="50"/>
      <c r="B326" s="50"/>
      <c r="C326" s="51"/>
      <c r="D326" s="51"/>
      <c r="E326" s="51"/>
      <c r="F326" s="51"/>
      <c r="G326" s="51"/>
      <c r="H326" s="51"/>
      <c r="I326" s="51"/>
      <c r="J326" s="51"/>
    </row>
    <row r="327" spans="1:10">
      <c r="A327" s="50"/>
      <c r="B327" s="50"/>
      <c r="C327" s="51"/>
      <c r="D327" s="51"/>
      <c r="E327" s="51"/>
      <c r="F327" s="51"/>
      <c r="G327" s="51"/>
      <c r="H327" s="51"/>
      <c r="I327" s="51"/>
      <c r="J327" s="51"/>
    </row>
    <row r="328" spans="1:10">
      <c r="A328" s="50"/>
      <c r="B328" s="50"/>
      <c r="C328" s="51"/>
      <c r="D328" s="51"/>
      <c r="E328" s="51"/>
      <c r="F328" s="51"/>
      <c r="G328" s="51"/>
      <c r="H328" s="51"/>
      <c r="I328" s="51"/>
      <c r="J328" s="51"/>
    </row>
    <row r="329" spans="1:10">
      <c r="A329" s="50"/>
      <c r="B329" s="50"/>
      <c r="C329" s="51"/>
      <c r="D329" s="51"/>
      <c r="E329" s="51"/>
      <c r="F329" s="51"/>
      <c r="G329" s="51"/>
      <c r="H329" s="51"/>
      <c r="I329" s="51"/>
      <c r="J329" s="51"/>
    </row>
    <row r="330" spans="1:10">
      <c r="A330" s="50"/>
      <c r="B330" s="50"/>
      <c r="C330" s="51"/>
      <c r="D330" s="51"/>
      <c r="E330" s="51"/>
      <c r="F330" s="51"/>
      <c r="G330" s="51"/>
      <c r="H330" s="51"/>
      <c r="I330" s="51"/>
      <c r="J330" s="51"/>
    </row>
    <row r="331" spans="1:10">
      <c r="A331" s="50"/>
      <c r="B331" s="50"/>
      <c r="C331" s="51"/>
      <c r="D331" s="51"/>
      <c r="E331" s="51"/>
      <c r="F331" s="51"/>
      <c r="G331" s="51"/>
      <c r="H331" s="51"/>
      <c r="I331" s="51"/>
      <c r="J331" s="51"/>
    </row>
    <row r="332" spans="1:10">
      <c r="A332" s="50"/>
      <c r="B332" s="50"/>
      <c r="C332" s="51"/>
      <c r="D332" s="51"/>
      <c r="E332" s="51"/>
      <c r="F332" s="51"/>
      <c r="G332" s="51"/>
      <c r="H332" s="51"/>
      <c r="I332" s="51"/>
      <c r="J332" s="51"/>
    </row>
    <row r="333" spans="1:10">
      <c r="A333" s="50"/>
      <c r="B333" s="50"/>
      <c r="C333" s="51"/>
      <c r="D333" s="51"/>
      <c r="E333" s="51"/>
      <c r="F333" s="51"/>
      <c r="G333" s="51"/>
      <c r="H333" s="51"/>
      <c r="I333" s="51"/>
      <c r="J333" s="51"/>
    </row>
    <row r="334" spans="1:10">
      <c r="A334" s="50"/>
      <c r="B334" s="50"/>
      <c r="C334" s="51"/>
      <c r="D334" s="51"/>
      <c r="E334" s="51"/>
      <c r="F334" s="51"/>
      <c r="G334" s="51"/>
      <c r="H334" s="51"/>
      <c r="I334" s="51"/>
      <c r="J334" s="51"/>
    </row>
    <row r="335" spans="1:10">
      <c r="A335" s="50"/>
      <c r="B335" s="50"/>
      <c r="C335" s="51"/>
      <c r="D335" s="51"/>
      <c r="E335" s="51"/>
      <c r="F335" s="51"/>
      <c r="G335" s="51"/>
      <c r="H335" s="51"/>
      <c r="I335" s="51"/>
      <c r="J335" s="51"/>
    </row>
    <row r="336" spans="1:10">
      <c r="A336" s="50"/>
      <c r="B336" s="50"/>
      <c r="C336" s="51"/>
      <c r="D336" s="51"/>
      <c r="E336" s="51"/>
      <c r="F336" s="51"/>
      <c r="G336" s="51"/>
      <c r="H336" s="51"/>
      <c r="I336" s="51"/>
      <c r="J336" s="51"/>
    </row>
    <row r="337" spans="1:10">
      <c r="A337" s="50"/>
      <c r="B337" s="50"/>
      <c r="C337" s="51"/>
      <c r="D337" s="51"/>
      <c r="E337" s="51"/>
      <c r="F337" s="51"/>
      <c r="G337" s="51"/>
      <c r="H337" s="51"/>
      <c r="I337" s="51"/>
      <c r="J337" s="51"/>
    </row>
    <row r="338" spans="1:10">
      <c r="A338" s="50"/>
      <c r="B338" s="50"/>
      <c r="C338" s="51"/>
      <c r="D338" s="51"/>
      <c r="E338" s="51"/>
      <c r="F338" s="51"/>
      <c r="G338" s="51"/>
      <c r="H338" s="51"/>
      <c r="I338" s="51"/>
      <c r="J338" s="51"/>
    </row>
    <row r="339" spans="1:10">
      <c r="A339" s="50"/>
      <c r="B339" s="50"/>
      <c r="C339" s="51"/>
      <c r="D339" s="51"/>
      <c r="E339" s="51"/>
      <c r="F339" s="51"/>
      <c r="G339" s="51"/>
      <c r="H339" s="51"/>
      <c r="I339" s="51"/>
      <c r="J339" s="51"/>
    </row>
    <row r="340" spans="1:10">
      <c r="A340" s="50"/>
      <c r="B340" s="50"/>
      <c r="C340" s="51"/>
      <c r="D340" s="51"/>
      <c r="E340" s="51"/>
      <c r="F340" s="51"/>
      <c r="G340" s="51"/>
      <c r="H340" s="51"/>
      <c r="I340" s="51"/>
      <c r="J340" s="51"/>
    </row>
    <row r="341" spans="1:10">
      <c r="A341" s="50"/>
      <c r="B341" s="50"/>
      <c r="C341" s="51"/>
      <c r="D341" s="51"/>
      <c r="E341" s="51"/>
      <c r="F341" s="51"/>
      <c r="G341" s="51"/>
      <c r="H341" s="51"/>
      <c r="I341" s="51"/>
      <c r="J341" s="51"/>
    </row>
    <row r="342" spans="1:10">
      <c r="A342" s="50"/>
      <c r="B342" s="50"/>
      <c r="C342" s="51"/>
      <c r="D342" s="51"/>
      <c r="E342" s="51"/>
      <c r="F342" s="51"/>
      <c r="G342" s="51"/>
      <c r="H342" s="51"/>
      <c r="I342" s="51"/>
      <c r="J342" s="51"/>
    </row>
    <row r="343" spans="1:10">
      <c r="A343" s="50"/>
      <c r="B343" s="50"/>
      <c r="C343" s="51"/>
      <c r="D343" s="51"/>
      <c r="E343" s="51"/>
      <c r="F343" s="51"/>
      <c r="G343" s="51"/>
      <c r="H343" s="51"/>
      <c r="I343" s="51"/>
      <c r="J343" s="51"/>
    </row>
    <row r="344" spans="1:10">
      <c r="A344" s="50"/>
      <c r="B344" s="50"/>
      <c r="C344" s="51"/>
      <c r="D344" s="51"/>
      <c r="E344" s="51"/>
      <c r="F344" s="51"/>
      <c r="G344" s="51"/>
      <c r="H344" s="51"/>
      <c r="I344" s="51"/>
      <c r="J344" s="51"/>
    </row>
    <row r="345" spans="1:10">
      <c r="A345" s="50"/>
      <c r="B345" s="50"/>
      <c r="C345" s="51"/>
      <c r="D345" s="51"/>
      <c r="E345" s="51"/>
      <c r="F345" s="51"/>
      <c r="G345" s="51"/>
      <c r="H345" s="51"/>
      <c r="I345" s="51"/>
      <c r="J345" s="51"/>
    </row>
    <row r="346" spans="1:10">
      <c r="A346" s="50"/>
      <c r="B346" s="50"/>
      <c r="C346" s="51"/>
      <c r="D346" s="51"/>
      <c r="E346" s="51"/>
      <c r="F346" s="51"/>
      <c r="G346" s="51"/>
      <c r="H346" s="51"/>
      <c r="I346" s="51"/>
      <c r="J346" s="51"/>
    </row>
    <row r="347" spans="1:10">
      <c r="A347" s="50"/>
      <c r="B347" s="50"/>
      <c r="C347" s="51"/>
      <c r="D347" s="51"/>
      <c r="E347" s="51"/>
      <c r="F347" s="51"/>
      <c r="G347" s="51"/>
      <c r="H347" s="51"/>
      <c r="I347" s="51"/>
      <c r="J347" s="51"/>
    </row>
    <row r="348" spans="1:10">
      <c r="A348" s="50"/>
      <c r="B348" s="50"/>
      <c r="C348" s="51"/>
      <c r="D348" s="51"/>
      <c r="E348" s="51"/>
      <c r="F348" s="51"/>
      <c r="G348" s="51"/>
      <c r="H348" s="51"/>
      <c r="I348" s="51"/>
      <c r="J348" s="51"/>
    </row>
    <row r="349" spans="1:10">
      <c r="A349" s="50"/>
      <c r="B349" s="50"/>
      <c r="C349" s="51"/>
      <c r="D349" s="51"/>
      <c r="E349" s="51"/>
      <c r="F349" s="51"/>
      <c r="G349" s="51"/>
      <c r="H349" s="51"/>
      <c r="I349" s="51"/>
      <c r="J349" s="51"/>
    </row>
    <row r="350" spans="1:10">
      <c r="A350" s="50"/>
      <c r="B350" s="50"/>
      <c r="C350" s="51"/>
      <c r="D350" s="51"/>
      <c r="E350" s="51"/>
      <c r="F350" s="51"/>
      <c r="G350" s="51"/>
      <c r="H350" s="51"/>
      <c r="I350" s="51"/>
      <c r="J350" s="51"/>
    </row>
    <row r="351" spans="1:10">
      <c r="A351" s="50"/>
      <c r="B351" s="50"/>
      <c r="C351" s="51"/>
      <c r="D351" s="51"/>
      <c r="E351" s="51"/>
      <c r="F351" s="51"/>
      <c r="G351" s="51"/>
      <c r="H351" s="51"/>
      <c r="I351" s="51"/>
      <c r="J351" s="51"/>
    </row>
    <row r="352" spans="1:10">
      <c r="A352" s="50"/>
      <c r="B352" s="50"/>
      <c r="C352" s="51"/>
      <c r="D352" s="51"/>
      <c r="E352" s="51"/>
      <c r="F352" s="51"/>
      <c r="G352" s="51"/>
      <c r="H352" s="51"/>
      <c r="I352" s="51"/>
      <c r="J352" s="51"/>
    </row>
    <row r="353" spans="1:10">
      <c r="A353" s="50"/>
      <c r="B353" s="50"/>
      <c r="C353" s="51"/>
      <c r="D353" s="51"/>
      <c r="E353" s="51"/>
      <c r="F353" s="51"/>
      <c r="G353" s="51"/>
      <c r="H353" s="51"/>
      <c r="I353" s="51"/>
      <c r="J353" s="51"/>
    </row>
    <row r="354" spans="1:10">
      <c r="A354" s="50"/>
      <c r="B354" s="50"/>
      <c r="C354" s="51"/>
      <c r="D354" s="51"/>
      <c r="E354" s="51"/>
      <c r="F354" s="51"/>
      <c r="G354" s="51"/>
      <c r="H354" s="51"/>
      <c r="I354" s="51"/>
      <c r="J354" s="51"/>
    </row>
    <row r="355" spans="1:10">
      <c r="A355" s="50"/>
      <c r="B355" s="50"/>
      <c r="C355" s="51"/>
      <c r="D355" s="51"/>
      <c r="E355" s="51"/>
      <c r="F355" s="51"/>
      <c r="G355" s="51"/>
      <c r="H355" s="51"/>
      <c r="I355" s="51"/>
      <c r="J355" s="51"/>
    </row>
    <row r="356" spans="1:10">
      <c r="A356" s="50"/>
      <c r="B356" s="50"/>
      <c r="C356" s="51"/>
      <c r="D356" s="51"/>
      <c r="E356" s="51"/>
      <c r="F356" s="51"/>
      <c r="G356" s="51"/>
      <c r="H356" s="51"/>
      <c r="I356" s="51"/>
      <c r="J356" s="51"/>
    </row>
    <row r="357" spans="1:10">
      <c r="A357" s="50"/>
      <c r="B357" s="50"/>
      <c r="C357" s="51"/>
      <c r="D357" s="51"/>
      <c r="E357" s="51"/>
      <c r="F357" s="51"/>
      <c r="G357" s="51"/>
      <c r="H357" s="51"/>
      <c r="I357" s="51"/>
      <c r="J357" s="51"/>
    </row>
    <row r="358" spans="1:10">
      <c r="A358" s="50"/>
      <c r="B358" s="50"/>
      <c r="C358" s="51"/>
      <c r="D358" s="51"/>
      <c r="E358" s="51"/>
      <c r="F358" s="51"/>
      <c r="G358" s="51"/>
      <c r="H358" s="51"/>
      <c r="I358" s="51"/>
      <c r="J358" s="51"/>
    </row>
    <row r="359" spans="1:10">
      <c r="A359" s="50"/>
      <c r="B359" s="50"/>
      <c r="C359" s="51"/>
      <c r="D359" s="51"/>
      <c r="E359" s="51"/>
      <c r="F359" s="51"/>
      <c r="G359" s="51"/>
      <c r="H359" s="51"/>
      <c r="I359" s="51"/>
      <c r="J359" s="51"/>
    </row>
    <row r="360" spans="1:10">
      <c r="A360" s="50"/>
      <c r="B360" s="50"/>
      <c r="C360" s="51"/>
      <c r="D360" s="51"/>
      <c r="E360" s="51"/>
      <c r="F360" s="51"/>
      <c r="G360" s="51"/>
      <c r="H360" s="51"/>
      <c r="I360" s="51"/>
      <c r="J360" s="51"/>
    </row>
  </sheetData>
  <sheetProtection sheet="1" objects="1" scenarios="1"/>
  <mergeCells count="4">
    <mergeCell ref="F4:G4"/>
    <mergeCell ref="F5:G5"/>
    <mergeCell ref="A1:I1"/>
    <mergeCell ref="A2:I2"/>
  </mergeCells>
  <phoneticPr fontId="0" type="noConversion"/>
  <printOptions horizontalCentered="1"/>
  <pageMargins left="0.75" right="0.75" top="0.95" bottom="1" header="0.5" footer="0.5"/>
  <pageSetup scale="85" orientation="landscape" r:id="rId1"/>
  <headerFooter alignWithMargins="0">
    <oddHeader>&amp;C&amp;"Times New Roman,Bold"&amp;16ATTACHMENT D, Page &amp;P of &amp;N
EVERGY</oddHeader>
    <oddFooter>&amp;R&amp;1#&amp;"Calibri"&amp;10&amp;KA80000Internal Use Only</oddFooter>
  </headerFooter>
  <rowBreaks count="5" manualBreakCount="5">
    <brk id="41" max="8" man="1"/>
    <brk id="71" max="8" man="1"/>
    <brk id="101" max="8" man="1"/>
    <brk id="128" max="8" man="1"/>
    <brk id="154"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265"/>
  <sheetViews>
    <sheetView view="pageBreakPreview" zoomScale="90" zoomScaleNormal="100" zoomScaleSheetLayoutView="90" workbookViewId="0">
      <selection sqref="A1:E1"/>
    </sheetView>
  </sheetViews>
  <sheetFormatPr defaultColWidth="8.88671875" defaultRowHeight="13.2"/>
  <cols>
    <col min="1" max="1" width="4.88671875" style="474" bestFit="1" customWidth="1"/>
    <col min="2" max="2" width="59.5546875" style="449" customWidth="1"/>
    <col min="3" max="3" width="32.5546875" style="449" customWidth="1"/>
    <col min="4" max="4" width="21.109375" style="449" customWidth="1"/>
    <col min="5" max="5" width="24.6640625" style="449" bestFit="1" customWidth="1"/>
    <col min="6" max="6" width="15.44140625" style="449" bestFit="1" customWidth="1"/>
    <col min="7" max="7" width="20.6640625" style="449" customWidth="1"/>
    <col min="8" max="8" width="12.88671875" style="449" customWidth="1"/>
    <col min="9" max="9" width="10.33203125" style="449" customWidth="1"/>
    <col min="10" max="16384" width="8.88671875" style="449"/>
  </cols>
  <sheetData>
    <row r="1" spans="1:10" ht="17.399999999999999">
      <c r="A1" s="1693" t="s">
        <v>1967</v>
      </c>
      <c r="B1" s="1693"/>
      <c r="C1" s="1693"/>
      <c r="D1" s="1693"/>
      <c r="E1" s="1693"/>
      <c r="F1" s="447"/>
      <c r="G1" s="447"/>
      <c r="H1" s="447"/>
      <c r="I1" s="447"/>
      <c r="J1" s="448"/>
    </row>
    <row r="2" spans="1:10" ht="18">
      <c r="A2" s="1694" t="str">
        <f>' Net Monthly Bill'!A2:B2</f>
        <v>For Contract Year Beginning June 1, 2024, Based on 2023 Data</v>
      </c>
      <c r="B2" s="1694"/>
      <c r="C2" s="1694"/>
      <c r="D2" s="1694"/>
      <c r="E2" s="1694"/>
      <c r="F2" s="451"/>
      <c r="G2" s="451"/>
      <c r="H2" s="451"/>
      <c r="I2" s="451"/>
      <c r="J2" s="452"/>
    </row>
    <row r="3" spans="1:10" ht="18">
      <c r="A3" s="1695"/>
      <c r="B3" s="1695"/>
      <c r="C3" s="1695"/>
      <c r="D3" s="1695"/>
      <c r="E3" s="1695"/>
      <c r="F3" s="453"/>
      <c r="G3" s="453"/>
      <c r="H3" s="453"/>
      <c r="I3" s="453"/>
      <c r="J3" s="453"/>
    </row>
    <row r="4" spans="1:10" s="455" customFormat="1" ht="15.6">
      <c r="A4" s="454"/>
    </row>
    <row r="5" spans="1:10" s="455" customFormat="1" ht="31.2">
      <c r="A5" s="456" t="s">
        <v>494</v>
      </c>
      <c r="B5" s="456" t="s">
        <v>486</v>
      </c>
      <c r="C5" s="457" t="s">
        <v>1968</v>
      </c>
      <c r="D5" s="391" t="s">
        <v>2879</v>
      </c>
      <c r="E5" s="391" t="s">
        <v>2880</v>
      </c>
    </row>
    <row r="6" spans="1:10" s="455" customFormat="1" ht="15.6">
      <c r="A6" s="458">
        <v>1</v>
      </c>
      <c r="B6" s="459" t="s">
        <v>1969</v>
      </c>
      <c r="C6" s="460" t="s">
        <v>1970</v>
      </c>
      <c r="D6" s="1580">
        <v>100963886</v>
      </c>
      <c r="E6" s="1580">
        <v>36809037</v>
      </c>
    </row>
    <row r="7" spans="1:10" s="455" customFormat="1" ht="15.6">
      <c r="A7" s="458">
        <v>2</v>
      </c>
      <c r="B7" s="459" t="s">
        <v>1971</v>
      </c>
      <c r="C7" s="460" t="s">
        <v>1972</v>
      </c>
      <c r="D7" s="1580">
        <v>62307125</v>
      </c>
      <c r="E7" s="1580">
        <v>29716613</v>
      </c>
    </row>
    <row r="8" spans="1:10" ht="15.6">
      <c r="A8" s="458">
        <v>3</v>
      </c>
      <c r="B8" s="459" t="s">
        <v>1973</v>
      </c>
      <c r="C8" s="461" t="s">
        <v>1974</v>
      </c>
      <c r="D8" s="1580">
        <v>12332017</v>
      </c>
      <c r="E8" s="1580">
        <v>9375194</v>
      </c>
    </row>
    <row r="9" spans="1:10" ht="15.6">
      <c r="A9" s="458">
        <v>4</v>
      </c>
      <c r="B9" s="459" t="s">
        <v>1975</v>
      </c>
      <c r="C9" s="461" t="s">
        <v>1976</v>
      </c>
      <c r="D9" s="1580">
        <v>8649919</v>
      </c>
      <c r="E9" s="1580">
        <v>10068825</v>
      </c>
      <c r="H9" s="462"/>
    </row>
    <row r="10" spans="1:10" ht="15.6">
      <c r="A10" s="458">
        <v>5</v>
      </c>
      <c r="B10" s="459" t="s">
        <v>1977</v>
      </c>
      <c r="C10" s="461" t="s">
        <v>1978</v>
      </c>
      <c r="D10" s="1580">
        <v>0</v>
      </c>
      <c r="E10" s="1580">
        <v>0</v>
      </c>
      <c r="J10" s="455"/>
    </row>
    <row r="11" spans="1:10" ht="15.6">
      <c r="A11" s="458">
        <v>6</v>
      </c>
      <c r="B11" s="463" t="s">
        <v>1979</v>
      </c>
      <c r="C11" s="461" t="s">
        <v>1980</v>
      </c>
      <c r="D11" s="1580">
        <v>783927139</v>
      </c>
      <c r="E11" s="1580">
        <v>0</v>
      </c>
      <c r="J11" s="455"/>
    </row>
    <row r="12" spans="1:10" ht="15.6">
      <c r="A12" s="458">
        <v>7</v>
      </c>
      <c r="B12" s="463" t="s">
        <v>1981</v>
      </c>
      <c r="C12" s="461" t="s">
        <v>1982</v>
      </c>
      <c r="D12" s="1580">
        <v>0</v>
      </c>
      <c r="E12" s="1580">
        <v>0</v>
      </c>
      <c r="J12" s="455"/>
    </row>
    <row r="13" spans="1:10" ht="15.6">
      <c r="A13" s="458">
        <v>8</v>
      </c>
      <c r="B13" s="463" t="s">
        <v>1983</v>
      </c>
      <c r="C13" s="464" t="s">
        <v>1984</v>
      </c>
      <c r="D13" s="1580">
        <v>4914419635</v>
      </c>
      <c r="E13" s="1580">
        <v>3585472489</v>
      </c>
      <c r="J13" s="455"/>
    </row>
    <row r="14" spans="1:10" ht="15.6">
      <c r="A14" s="458">
        <v>9</v>
      </c>
      <c r="B14" s="465" t="s">
        <v>1985</v>
      </c>
      <c r="C14" s="454" t="s">
        <v>1986</v>
      </c>
      <c r="D14" s="1580">
        <v>4005500000</v>
      </c>
      <c r="E14" s="1580">
        <v>621440000</v>
      </c>
      <c r="J14" s="455"/>
    </row>
    <row r="15" spans="1:10" ht="15.6">
      <c r="A15" s="458">
        <v>10</v>
      </c>
      <c r="B15" s="465" t="s">
        <v>1987</v>
      </c>
      <c r="C15" s="454" t="s">
        <v>1988</v>
      </c>
      <c r="D15" s="1580">
        <v>0</v>
      </c>
      <c r="E15" s="1580">
        <v>0</v>
      </c>
    </row>
    <row r="16" spans="1:10" ht="15.6">
      <c r="A16" s="610">
        <v>11</v>
      </c>
      <c r="B16" s="465" t="s">
        <v>2340</v>
      </c>
      <c r="C16" s="464" t="s">
        <v>2989</v>
      </c>
      <c r="D16" s="1580">
        <v>0</v>
      </c>
      <c r="E16" s="1580">
        <v>0</v>
      </c>
    </row>
    <row r="17" spans="1:6" ht="15.6">
      <c r="A17" s="458">
        <v>12</v>
      </c>
      <c r="B17" s="465" t="s">
        <v>1989</v>
      </c>
      <c r="C17" s="454" t="s">
        <v>1990</v>
      </c>
      <c r="D17" s="1580">
        <v>0</v>
      </c>
      <c r="E17" s="1580">
        <v>0</v>
      </c>
    </row>
    <row r="18" spans="1:6" ht="15.6">
      <c r="A18" s="458">
        <v>13</v>
      </c>
      <c r="B18" s="465" t="s">
        <v>1991</v>
      </c>
      <c r="C18" s="454" t="s">
        <v>1992</v>
      </c>
      <c r="D18" s="1580">
        <v>0</v>
      </c>
      <c r="E18" s="1580">
        <v>0</v>
      </c>
    </row>
    <row r="19" spans="1:6" ht="15.6">
      <c r="A19" s="458">
        <v>14</v>
      </c>
      <c r="B19" s="465" t="s">
        <v>1993</v>
      </c>
      <c r="C19" s="454" t="s">
        <v>1994</v>
      </c>
      <c r="D19" s="1580">
        <v>13771370</v>
      </c>
      <c r="E19" s="1580">
        <v>432763</v>
      </c>
    </row>
    <row r="20" spans="1:6" ht="15.6">
      <c r="A20" s="458">
        <v>15</v>
      </c>
      <c r="B20" s="466" t="s">
        <v>1995</v>
      </c>
      <c r="C20" s="467" t="s">
        <v>1996</v>
      </c>
      <c r="D20" s="1580">
        <v>3991728630</v>
      </c>
      <c r="E20" s="1580">
        <v>621007237</v>
      </c>
    </row>
    <row r="21" spans="1:6" ht="15.6">
      <c r="A21" s="458">
        <v>16</v>
      </c>
      <c r="B21" s="466" t="s">
        <v>1997</v>
      </c>
      <c r="C21" s="392" t="s">
        <v>1998</v>
      </c>
      <c r="D21" s="1580">
        <v>140405798</v>
      </c>
      <c r="E21" s="1580">
        <v>77662367</v>
      </c>
    </row>
    <row r="22" spans="1:6" ht="15.6">
      <c r="A22" s="458">
        <v>17</v>
      </c>
      <c r="B22" s="468" t="s">
        <v>1999</v>
      </c>
      <c r="C22" s="464" t="s">
        <v>2000</v>
      </c>
      <c r="D22" s="1580">
        <v>140941233</v>
      </c>
      <c r="E22" s="1580">
        <v>32802701</v>
      </c>
    </row>
    <row r="23" spans="1:6" ht="15.6">
      <c r="A23" s="458">
        <v>18</v>
      </c>
      <c r="B23" s="468" t="s">
        <v>2001</v>
      </c>
      <c r="C23" s="464" t="s">
        <v>2002</v>
      </c>
      <c r="D23" s="1580">
        <v>4220436</v>
      </c>
      <c r="E23" s="1580">
        <v>277698</v>
      </c>
      <c r="F23" s="469"/>
    </row>
    <row r="24" spans="1:6" ht="15.6">
      <c r="A24" s="458">
        <v>19</v>
      </c>
      <c r="B24" s="468" t="s">
        <v>2003</v>
      </c>
      <c r="C24" s="464" t="s">
        <v>2004</v>
      </c>
      <c r="D24" s="1580">
        <v>3931240</v>
      </c>
      <c r="E24" s="1580">
        <v>858356</v>
      </c>
    </row>
    <row r="25" spans="1:6" ht="15.6">
      <c r="A25" s="458">
        <v>20</v>
      </c>
      <c r="B25" s="468" t="s">
        <v>2005</v>
      </c>
      <c r="C25" s="464" t="s">
        <v>2006</v>
      </c>
      <c r="D25" s="1580">
        <v>0</v>
      </c>
      <c r="E25" s="1580">
        <v>0</v>
      </c>
      <c r="F25" s="469"/>
    </row>
    <row r="26" spans="1:6" ht="15.6">
      <c r="A26" s="458">
        <v>21</v>
      </c>
      <c r="B26" s="468" t="s">
        <v>2007</v>
      </c>
      <c r="C26" s="464" t="s">
        <v>2008</v>
      </c>
      <c r="D26" s="1580">
        <v>0</v>
      </c>
      <c r="E26" s="1580">
        <v>0</v>
      </c>
    </row>
    <row r="27" spans="1:6" ht="15.6">
      <c r="A27" s="610">
        <v>22</v>
      </c>
      <c r="B27" s="465" t="s">
        <v>2341</v>
      </c>
      <c r="C27" s="464" t="s">
        <v>2990</v>
      </c>
      <c r="D27" s="1580">
        <v>1311096</v>
      </c>
      <c r="E27" s="1580">
        <v>554795</v>
      </c>
    </row>
    <row r="28" spans="1:6" ht="15.6">
      <c r="A28" s="610">
        <v>23</v>
      </c>
      <c r="B28" s="615" t="s">
        <v>2479</v>
      </c>
      <c r="C28" s="464" t="s">
        <v>2009</v>
      </c>
      <c r="D28" s="1580">
        <v>0</v>
      </c>
      <c r="E28" s="1580">
        <v>0</v>
      </c>
    </row>
    <row r="29" spans="1:6" ht="15.6">
      <c r="A29" s="458">
        <v>24</v>
      </c>
      <c r="B29" s="470" t="s">
        <v>2010</v>
      </c>
      <c r="C29" s="464" t="s">
        <v>2011</v>
      </c>
      <c r="D29" s="1580">
        <v>232491127</v>
      </c>
      <c r="E29" s="1580">
        <v>73134767</v>
      </c>
    </row>
    <row r="30" spans="1:6" ht="15.6">
      <c r="A30" s="458">
        <v>25</v>
      </c>
      <c r="B30" s="470" t="s">
        <v>2303</v>
      </c>
      <c r="C30" s="464" t="s">
        <v>2302</v>
      </c>
      <c r="D30" s="1580">
        <v>74085359</v>
      </c>
      <c r="E30" s="1580">
        <v>99116356</v>
      </c>
    </row>
    <row r="31" spans="1:6" ht="15.6">
      <c r="A31" s="458">
        <v>26</v>
      </c>
      <c r="B31" s="455" t="s">
        <v>2012</v>
      </c>
      <c r="C31" s="454" t="s">
        <v>2013</v>
      </c>
      <c r="D31" s="1580">
        <v>2464326843</v>
      </c>
      <c r="E31" s="1580">
        <v>1745264178</v>
      </c>
    </row>
    <row r="32" spans="1:6" ht="15.6">
      <c r="A32" s="458">
        <v>27</v>
      </c>
      <c r="B32" s="455" t="s">
        <v>2307</v>
      </c>
      <c r="C32" s="454" t="s">
        <v>2304</v>
      </c>
      <c r="D32" s="1580">
        <v>0</v>
      </c>
      <c r="E32" s="1580">
        <v>140662510</v>
      </c>
    </row>
    <row r="33" spans="1:5" ht="15.6">
      <c r="A33" s="458">
        <v>28</v>
      </c>
      <c r="B33" s="455" t="s">
        <v>2308</v>
      </c>
      <c r="C33" s="454" t="s">
        <v>2305</v>
      </c>
      <c r="D33" s="1580">
        <v>0</v>
      </c>
      <c r="E33" s="1580">
        <v>0</v>
      </c>
    </row>
    <row r="34" spans="1:5" ht="15.6">
      <c r="A34" s="458">
        <v>29</v>
      </c>
      <c r="B34" s="455" t="s">
        <v>2309</v>
      </c>
      <c r="C34" s="454" t="s">
        <v>2306</v>
      </c>
      <c r="D34" s="1580">
        <v>31165847</v>
      </c>
      <c r="E34" s="1580">
        <v>0</v>
      </c>
    </row>
    <row r="35" spans="1:5" ht="15.6">
      <c r="A35" s="458">
        <v>30</v>
      </c>
      <c r="B35" s="455" t="s">
        <v>2014</v>
      </c>
      <c r="C35" s="454" t="s">
        <v>2015</v>
      </c>
      <c r="D35" s="1580">
        <v>4141908960</v>
      </c>
      <c r="E35" s="1580">
        <v>3860161376</v>
      </c>
    </row>
    <row r="36" spans="1:5" ht="15.6">
      <c r="A36" s="458">
        <v>31</v>
      </c>
      <c r="B36" s="455" t="s">
        <v>2016</v>
      </c>
      <c r="C36" s="454" t="s">
        <v>2017</v>
      </c>
      <c r="D36" s="1580">
        <v>372566777</v>
      </c>
      <c r="E36" s="1580">
        <v>209220741</v>
      </c>
    </row>
    <row r="37" spans="1:5" ht="15.6">
      <c r="A37" s="458">
        <v>32</v>
      </c>
      <c r="B37" s="455" t="s">
        <v>2311</v>
      </c>
      <c r="C37" s="454" t="s">
        <v>2310</v>
      </c>
      <c r="D37" s="1580">
        <v>0</v>
      </c>
      <c r="E37" s="1580">
        <v>0</v>
      </c>
    </row>
    <row r="38" spans="1:5" ht="15.6">
      <c r="A38" s="458">
        <v>33</v>
      </c>
      <c r="B38" s="455" t="s">
        <v>2018</v>
      </c>
      <c r="C38" s="454" t="s">
        <v>2019</v>
      </c>
      <c r="D38" s="1580">
        <v>372566777</v>
      </c>
      <c r="E38" s="1580">
        <v>209220741</v>
      </c>
    </row>
    <row r="39" spans="1:5" ht="15.6">
      <c r="A39" s="458">
        <v>34</v>
      </c>
      <c r="B39" s="455" t="s">
        <v>2020</v>
      </c>
      <c r="C39" s="454" t="s">
        <v>2021</v>
      </c>
      <c r="D39" s="1580">
        <v>8736824042</v>
      </c>
      <c r="E39" s="1580">
        <v>7520469097</v>
      </c>
    </row>
    <row r="40" spans="1:5" ht="15.6">
      <c r="A40" s="458">
        <v>35</v>
      </c>
      <c r="B40" s="455" t="s">
        <v>2022</v>
      </c>
      <c r="C40" s="454" t="s">
        <v>2023</v>
      </c>
      <c r="D40" s="1580">
        <v>993887804</v>
      </c>
      <c r="E40" s="1580">
        <v>432210956</v>
      </c>
    </row>
    <row r="41" spans="1:5" ht="15.6">
      <c r="A41" s="458">
        <v>36</v>
      </c>
      <c r="B41" s="455" t="s">
        <v>2024</v>
      </c>
      <c r="C41" s="454" t="s">
        <v>2025</v>
      </c>
      <c r="D41" s="1580">
        <v>0</v>
      </c>
      <c r="E41" s="1580">
        <v>1031555904</v>
      </c>
    </row>
    <row r="42" spans="1:5" ht="15.6">
      <c r="A42" s="458">
        <v>37</v>
      </c>
      <c r="B42" s="455" t="s">
        <v>2026</v>
      </c>
      <c r="C42" s="454" t="s">
        <v>2027</v>
      </c>
      <c r="D42" s="1580">
        <v>0</v>
      </c>
      <c r="E42" s="1580">
        <v>0</v>
      </c>
    </row>
    <row r="43" spans="1:5" ht="15.6">
      <c r="A43" s="458">
        <v>38</v>
      </c>
      <c r="B43" s="455" t="s">
        <v>2028</v>
      </c>
      <c r="C43" s="454" t="s">
        <v>2029</v>
      </c>
      <c r="D43" s="1580">
        <v>0</v>
      </c>
      <c r="E43" s="1580">
        <v>0</v>
      </c>
    </row>
    <row r="44" spans="1:5" ht="15.6">
      <c r="A44" s="458">
        <v>39</v>
      </c>
      <c r="B44" s="455" t="s">
        <v>2030</v>
      </c>
      <c r="C44" s="454" t="s">
        <v>2031</v>
      </c>
      <c r="D44" s="1580">
        <v>678550133</v>
      </c>
      <c r="E44" s="1580">
        <v>910144</v>
      </c>
    </row>
    <row r="45" spans="1:5" ht="15.6">
      <c r="A45" s="458">
        <v>40</v>
      </c>
      <c r="B45" s="455" t="s">
        <v>2032</v>
      </c>
      <c r="C45" s="454" t="s">
        <v>2033</v>
      </c>
      <c r="D45" s="1580">
        <v>148254380</v>
      </c>
      <c r="E45" s="1580">
        <v>95183049</v>
      </c>
    </row>
    <row r="46" spans="1:5" ht="15.6">
      <c r="A46" s="458">
        <v>41</v>
      </c>
      <c r="B46" s="455" t="s">
        <v>2225</v>
      </c>
      <c r="C46" s="454" t="s">
        <v>2226</v>
      </c>
      <c r="D46" s="1580">
        <v>148254380</v>
      </c>
      <c r="E46" s="1580">
        <v>95183049</v>
      </c>
    </row>
    <row r="47" spans="1:5" ht="15.6">
      <c r="A47" s="458">
        <v>42</v>
      </c>
      <c r="B47" s="455" t="s">
        <v>2034</v>
      </c>
      <c r="C47" s="454" t="s">
        <v>2035</v>
      </c>
      <c r="D47" s="1580">
        <v>2638535682</v>
      </c>
      <c r="E47" s="1580">
        <v>2330889101</v>
      </c>
    </row>
    <row r="48" spans="1:5" ht="15.6">
      <c r="A48" s="458">
        <v>43</v>
      </c>
      <c r="B48" s="455" t="s">
        <v>2036</v>
      </c>
      <c r="C48" s="454" t="s">
        <v>2037</v>
      </c>
      <c r="D48" s="1580">
        <v>100963886</v>
      </c>
      <c r="E48" s="1580">
        <v>36809037</v>
      </c>
    </row>
    <row r="49" spans="1:5" ht="15.6">
      <c r="A49" s="458">
        <v>44</v>
      </c>
      <c r="B49" s="455" t="s">
        <v>2038</v>
      </c>
      <c r="C49" s="454" t="s">
        <v>2039</v>
      </c>
      <c r="D49" s="1580">
        <v>54092700</v>
      </c>
      <c r="E49" s="1580">
        <v>55348705</v>
      </c>
    </row>
    <row r="50" spans="1:5" ht="15.6">
      <c r="A50" s="458">
        <v>45</v>
      </c>
      <c r="B50" s="465" t="s">
        <v>2040</v>
      </c>
      <c r="C50" s="454" t="s">
        <v>2041</v>
      </c>
      <c r="D50" s="1580">
        <v>83848349</v>
      </c>
      <c r="E50" s="1580">
        <v>101856296</v>
      </c>
    </row>
    <row r="51" spans="1:5" ht="15.6">
      <c r="A51" s="458">
        <v>46</v>
      </c>
      <c r="B51" s="465" t="s">
        <v>2042</v>
      </c>
      <c r="C51" s="454" t="s">
        <v>2043</v>
      </c>
      <c r="D51" s="1580">
        <v>883990</v>
      </c>
      <c r="E51" s="1580">
        <v>34155</v>
      </c>
    </row>
    <row r="52" spans="1:5" ht="15.6">
      <c r="A52" s="458">
        <v>47</v>
      </c>
      <c r="B52" s="465" t="s">
        <v>2044</v>
      </c>
      <c r="C52" s="454" t="s">
        <v>2045</v>
      </c>
      <c r="D52" s="1580">
        <v>2368596</v>
      </c>
      <c r="E52" s="1580">
        <v>-2142891</v>
      </c>
    </row>
    <row r="53" spans="1:5" ht="15.6">
      <c r="A53" s="458">
        <v>48</v>
      </c>
      <c r="B53" s="393" t="s">
        <v>2046</v>
      </c>
      <c r="C53" s="454" t="s">
        <v>2047</v>
      </c>
      <c r="D53" s="1580">
        <v>500471752</v>
      </c>
      <c r="E53" s="1580">
        <v>193785578</v>
      </c>
    </row>
    <row r="54" spans="1:5" ht="15.6">
      <c r="A54" s="458">
        <v>49</v>
      </c>
      <c r="B54" s="455" t="s">
        <v>2048</v>
      </c>
      <c r="C54" s="454" t="s">
        <v>2049</v>
      </c>
      <c r="D54" s="1580">
        <v>-22203306</v>
      </c>
      <c r="E54" s="1580">
        <v>27688587</v>
      </c>
    </row>
    <row r="55" spans="1:5" ht="15.6">
      <c r="A55" s="458">
        <v>50</v>
      </c>
      <c r="B55" s="455" t="s">
        <v>2050</v>
      </c>
      <c r="C55" s="454" t="s">
        <v>2049</v>
      </c>
      <c r="D55" s="1580">
        <v>6021416</v>
      </c>
      <c r="E55" s="1580">
        <v>5772125</v>
      </c>
    </row>
    <row r="56" spans="1:5" ht="15.6">
      <c r="A56" s="458">
        <v>51</v>
      </c>
      <c r="B56" s="455" t="s">
        <v>2051</v>
      </c>
      <c r="C56" s="454" t="s">
        <v>2049</v>
      </c>
      <c r="D56" s="1580">
        <v>88040</v>
      </c>
      <c r="E56" s="1580">
        <v>16628</v>
      </c>
    </row>
    <row r="57" spans="1:5" ht="15.6">
      <c r="A57" s="458">
        <v>52</v>
      </c>
      <c r="B57" s="455" t="s">
        <v>2052</v>
      </c>
      <c r="C57" s="454" t="s">
        <v>2049</v>
      </c>
      <c r="D57" s="1580">
        <v>0</v>
      </c>
      <c r="E57" s="1580">
        <v>0</v>
      </c>
    </row>
    <row r="58" spans="1:5" ht="15.6">
      <c r="A58" s="458">
        <v>53</v>
      </c>
      <c r="B58" s="455" t="s">
        <v>2053</v>
      </c>
      <c r="C58" s="454" t="s">
        <v>2049</v>
      </c>
      <c r="D58" s="1580">
        <v>0</v>
      </c>
      <c r="E58" s="1580">
        <v>0</v>
      </c>
    </row>
    <row r="59" spans="1:5" ht="15.6">
      <c r="A59" s="458">
        <v>54</v>
      </c>
      <c r="B59" s="455" t="s">
        <v>2054</v>
      </c>
      <c r="C59" s="454" t="s">
        <v>2049</v>
      </c>
      <c r="D59" s="1580">
        <v>233959</v>
      </c>
      <c r="E59" s="1580">
        <v>45323</v>
      </c>
    </row>
    <row r="60" spans="1:5" ht="15.6">
      <c r="A60" s="458">
        <v>55</v>
      </c>
      <c r="B60" s="455" t="s">
        <v>2055</v>
      </c>
      <c r="C60" s="454" t="s">
        <v>2049</v>
      </c>
      <c r="D60" s="1580">
        <v>0</v>
      </c>
      <c r="E60" s="1580">
        <v>0</v>
      </c>
    </row>
    <row r="61" spans="1:5" ht="15.6">
      <c r="A61" s="458">
        <v>56</v>
      </c>
      <c r="B61" s="455" t="s">
        <v>2056</v>
      </c>
      <c r="C61" s="454" t="s">
        <v>2049</v>
      </c>
      <c r="D61" s="1580">
        <v>0</v>
      </c>
      <c r="E61" s="1580">
        <v>0</v>
      </c>
    </row>
    <row r="62" spans="1:5" ht="15.6">
      <c r="A62" s="458">
        <v>57</v>
      </c>
      <c r="B62" s="455" t="s">
        <v>2057</v>
      </c>
      <c r="C62" s="454" t="s">
        <v>2049</v>
      </c>
      <c r="D62" s="1580">
        <v>25396</v>
      </c>
      <c r="E62" s="1580">
        <v>3712</v>
      </c>
    </row>
    <row r="63" spans="1:5" ht="15.6">
      <c r="A63" s="458">
        <v>58</v>
      </c>
      <c r="B63" s="455" t="s">
        <v>2058</v>
      </c>
      <c r="C63" s="454" t="s">
        <v>2049</v>
      </c>
      <c r="D63" s="1580">
        <v>0</v>
      </c>
      <c r="E63" s="1580">
        <v>0</v>
      </c>
    </row>
    <row r="64" spans="1:5" ht="15.6">
      <c r="A64" s="458">
        <v>59</v>
      </c>
      <c r="B64" s="455" t="s">
        <v>2059</v>
      </c>
      <c r="C64" s="454" t="s">
        <v>2049</v>
      </c>
      <c r="D64" s="1580">
        <v>134011475</v>
      </c>
      <c r="E64" s="1580">
        <v>71825460</v>
      </c>
    </row>
    <row r="65" spans="1:5" ht="15.6">
      <c r="A65" s="458">
        <v>60</v>
      </c>
      <c r="B65" s="455" t="s">
        <v>2060</v>
      </c>
      <c r="C65" s="454" t="s">
        <v>2049</v>
      </c>
      <c r="D65" s="1580">
        <v>0</v>
      </c>
      <c r="E65" s="1580">
        <v>0</v>
      </c>
    </row>
    <row r="66" spans="1:5" ht="15.6">
      <c r="A66" s="458">
        <v>61</v>
      </c>
      <c r="B66" s="455" t="s">
        <v>2061</v>
      </c>
      <c r="C66" s="454" t="s">
        <v>2062</v>
      </c>
      <c r="D66" s="1580">
        <v>2159700</v>
      </c>
      <c r="E66" s="1580">
        <v>1682927</v>
      </c>
    </row>
    <row r="67" spans="1:5" ht="15.6">
      <c r="A67" s="458">
        <v>62</v>
      </c>
      <c r="B67" s="393" t="s">
        <v>2063</v>
      </c>
      <c r="C67" s="392" t="s">
        <v>2064</v>
      </c>
      <c r="D67" s="1580">
        <v>1253267457</v>
      </c>
      <c r="E67" s="1580">
        <v>885608926</v>
      </c>
    </row>
    <row r="68" spans="1:5" ht="15.6">
      <c r="A68" s="458">
        <v>63</v>
      </c>
      <c r="B68" s="393" t="s">
        <v>2065</v>
      </c>
      <c r="C68" s="392" t="s">
        <v>2066</v>
      </c>
      <c r="D68" s="1580">
        <v>68777742</v>
      </c>
      <c r="E68" s="1580">
        <v>94849078</v>
      </c>
    </row>
    <row r="69" spans="1:5" ht="15.6">
      <c r="A69" s="458">
        <v>64</v>
      </c>
      <c r="B69" s="393" t="s">
        <v>468</v>
      </c>
      <c r="C69" s="392" t="s">
        <v>2067</v>
      </c>
      <c r="D69" s="1580">
        <v>85545107</v>
      </c>
      <c r="E69" s="1580">
        <v>331710</v>
      </c>
    </row>
    <row r="70" spans="1:5" ht="15.6">
      <c r="A70" s="458">
        <v>65</v>
      </c>
      <c r="B70" s="394" t="s">
        <v>2068</v>
      </c>
      <c r="C70" s="392" t="s">
        <v>2069</v>
      </c>
      <c r="D70" s="1580">
        <v>147490992</v>
      </c>
      <c r="E70" s="1580">
        <v>129973420</v>
      </c>
    </row>
    <row r="71" spans="1:5" ht="15.6">
      <c r="A71" s="458">
        <v>66</v>
      </c>
      <c r="B71" s="394" t="s">
        <v>2070</v>
      </c>
      <c r="C71" s="392" t="s">
        <v>2071</v>
      </c>
      <c r="D71" s="1580">
        <v>0</v>
      </c>
      <c r="E71" s="1580">
        <v>0</v>
      </c>
    </row>
    <row r="72" spans="1:5" ht="15.6">
      <c r="A72" s="458">
        <v>67</v>
      </c>
      <c r="B72" s="394" t="s">
        <v>2072</v>
      </c>
      <c r="C72" s="392" t="s">
        <v>2073</v>
      </c>
      <c r="D72" s="1580">
        <v>0</v>
      </c>
      <c r="E72" s="1580">
        <v>0</v>
      </c>
    </row>
    <row r="73" spans="1:5" ht="15.6">
      <c r="A73" s="458">
        <v>68</v>
      </c>
      <c r="B73" s="394" t="s">
        <v>2074</v>
      </c>
      <c r="C73" s="392" t="s">
        <v>2075</v>
      </c>
      <c r="D73" s="1580">
        <v>2163111</v>
      </c>
      <c r="E73" s="1580">
        <v>3085376</v>
      </c>
    </row>
    <row r="74" spans="1:5" ht="15.6">
      <c r="A74" s="458">
        <v>69</v>
      </c>
      <c r="B74" s="394" t="s">
        <v>2076</v>
      </c>
      <c r="C74" s="392" t="s">
        <v>2077</v>
      </c>
      <c r="D74" s="1580">
        <v>13915533</v>
      </c>
      <c r="E74" s="1580">
        <v>9600040</v>
      </c>
    </row>
    <row r="75" spans="1:5" ht="15.6">
      <c r="A75" s="458">
        <v>70</v>
      </c>
      <c r="B75" s="394" t="s">
        <v>2078</v>
      </c>
      <c r="C75" s="392" t="s">
        <v>2079</v>
      </c>
      <c r="D75" s="1580">
        <v>6094918</v>
      </c>
      <c r="E75" s="1580">
        <v>1972742</v>
      </c>
    </row>
    <row r="76" spans="1:5" ht="15.6">
      <c r="A76" s="458">
        <v>71</v>
      </c>
      <c r="B76" s="394" t="s">
        <v>2080</v>
      </c>
      <c r="C76" s="392" t="s">
        <v>2081</v>
      </c>
      <c r="D76" s="1580">
        <v>192418737</v>
      </c>
      <c r="E76" s="1580">
        <v>172479256</v>
      </c>
    </row>
    <row r="77" spans="1:5" ht="15.6">
      <c r="A77" s="458">
        <v>72</v>
      </c>
      <c r="B77" s="394" t="s">
        <v>2082</v>
      </c>
      <c r="C77" s="392" t="s">
        <v>2083</v>
      </c>
      <c r="D77" s="1580">
        <v>0</v>
      </c>
      <c r="E77" s="1580">
        <v>30936490</v>
      </c>
    </row>
    <row r="78" spans="1:5" ht="15.6">
      <c r="A78" s="458">
        <v>73</v>
      </c>
      <c r="B78" s="394" t="s">
        <v>2084</v>
      </c>
      <c r="C78" s="392" t="s">
        <v>2085</v>
      </c>
      <c r="D78" s="1580">
        <v>0</v>
      </c>
      <c r="E78" s="1580">
        <v>0</v>
      </c>
    </row>
    <row r="79" spans="1:5" ht="15.6">
      <c r="A79" s="458">
        <v>74</v>
      </c>
      <c r="B79" s="394" t="s">
        <v>2086</v>
      </c>
      <c r="C79" s="392" t="s">
        <v>2087</v>
      </c>
      <c r="D79" s="1580">
        <v>0</v>
      </c>
      <c r="E79" s="1580">
        <v>0</v>
      </c>
    </row>
    <row r="80" spans="1:5" ht="15.6">
      <c r="A80" s="458">
        <v>75</v>
      </c>
      <c r="B80" s="394" t="s">
        <v>2088</v>
      </c>
      <c r="C80" s="392" t="s">
        <v>2089</v>
      </c>
      <c r="D80" s="1580">
        <v>0</v>
      </c>
      <c r="E80" s="1580">
        <v>3609233</v>
      </c>
    </row>
    <row r="81" spans="1:5" ht="15.6">
      <c r="A81" s="458">
        <v>76</v>
      </c>
      <c r="B81" s="394" t="s">
        <v>2090</v>
      </c>
      <c r="C81" s="392" t="s">
        <v>2091</v>
      </c>
      <c r="D81" s="1580">
        <v>0</v>
      </c>
      <c r="E81" s="1580">
        <v>11746432</v>
      </c>
    </row>
    <row r="82" spans="1:5" ht="15.6">
      <c r="A82" s="458">
        <v>77</v>
      </c>
      <c r="B82" s="394" t="s">
        <v>2092</v>
      </c>
      <c r="C82" s="392" t="s">
        <v>2093</v>
      </c>
      <c r="D82" s="1580">
        <v>0</v>
      </c>
      <c r="E82" s="1580">
        <v>2020885</v>
      </c>
    </row>
    <row r="83" spans="1:5" ht="15.6">
      <c r="A83" s="458">
        <v>78</v>
      </c>
      <c r="B83" s="394" t="s">
        <v>2094</v>
      </c>
      <c r="C83" s="392" t="s">
        <v>2095</v>
      </c>
      <c r="D83" s="1580">
        <v>0</v>
      </c>
      <c r="E83" s="1580">
        <v>100428222</v>
      </c>
    </row>
    <row r="84" spans="1:5" ht="15.6">
      <c r="A84" s="458">
        <v>79</v>
      </c>
      <c r="B84" s="394" t="s">
        <v>2096</v>
      </c>
      <c r="C84" s="392" t="s">
        <v>2097</v>
      </c>
      <c r="D84" s="1580">
        <v>0</v>
      </c>
      <c r="E84" s="1580">
        <v>0</v>
      </c>
    </row>
    <row r="85" spans="1:5" ht="15.6">
      <c r="A85" s="458">
        <v>80</v>
      </c>
      <c r="B85" s="394" t="s">
        <v>2098</v>
      </c>
      <c r="C85" s="392" t="s">
        <v>2099</v>
      </c>
      <c r="D85" s="1580">
        <v>65233191</v>
      </c>
      <c r="E85" s="1580">
        <v>3780</v>
      </c>
    </row>
    <row r="86" spans="1:5" ht="15.6">
      <c r="A86" s="458">
        <v>81</v>
      </c>
      <c r="B86" s="394" t="s">
        <v>2100</v>
      </c>
      <c r="C86" s="392" t="s">
        <v>2101</v>
      </c>
      <c r="D86" s="1580">
        <v>87946192</v>
      </c>
      <c r="E86" s="1580">
        <v>34018</v>
      </c>
    </row>
    <row r="87" spans="1:5" ht="15.6">
      <c r="A87" s="458">
        <v>82</v>
      </c>
      <c r="B87" s="465" t="s">
        <v>2102</v>
      </c>
      <c r="C87" s="471" t="s">
        <v>2103</v>
      </c>
      <c r="D87" s="1580">
        <v>203551824</v>
      </c>
      <c r="E87" s="1580">
        <v>38089595</v>
      </c>
    </row>
    <row r="88" spans="1:5" ht="15.6">
      <c r="A88" s="458">
        <v>83</v>
      </c>
      <c r="B88" s="465" t="s">
        <v>2104</v>
      </c>
      <c r="C88" s="471" t="s">
        <v>2105</v>
      </c>
      <c r="D88" s="1580">
        <v>202640055</v>
      </c>
      <c r="E88" s="1580">
        <v>45262078</v>
      </c>
    </row>
    <row r="89" spans="1:5" ht="15.6">
      <c r="A89" s="458">
        <v>84</v>
      </c>
      <c r="B89" s="466" t="s">
        <v>2106</v>
      </c>
      <c r="C89" s="392" t="s">
        <v>2107</v>
      </c>
      <c r="D89" s="1580">
        <v>483004984</v>
      </c>
      <c r="E89" s="1580">
        <v>318203574</v>
      </c>
    </row>
    <row r="90" spans="1:5" ht="15.6">
      <c r="A90" s="458">
        <v>85</v>
      </c>
      <c r="B90" s="466" t="s">
        <v>2227</v>
      </c>
      <c r="C90" s="392" t="s">
        <v>2108</v>
      </c>
      <c r="D90" s="1580">
        <v>-7056</v>
      </c>
      <c r="E90" s="1580">
        <v>0</v>
      </c>
    </row>
    <row r="91" spans="1:5" ht="15.6">
      <c r="A91" s="458">
        <v>86</v>
      </c>
      <c r="B91" s="455" t="s">
        <v>2109</v>
      </c>
      <c r="C91" s="454" t="s">
        <v>2110</v>
      </c>
      <c r="D91" s="1580">
        <v>21204649</v>
      </c>
      <c r="E91" s="1580">
        <v>21328734</v>
      </c>
    </row>
    <row r="92" spans="1:5" ht="15.6">
      <c r="A92" s="458">
        <v>87</v>
      </c>
      <c r="B92" s="455" t="s">
        <v>2111</v>
      </c>
      <c r="C92" s="454" t="s">
        <v>2112</v>
      </c>
      <c r="D92" s="1580">
        <v>3673098</v>
      </c>
      <c r="E92" s="1580">
        <v>8251074</v>
      </c>
    </row>
    <row r="93" spans="1:5" ht="15.6">
      <c r="A93" s="458">
        <v>88</v>
      </c>
      <c r="B93" s="455" t="s">
        <v>2113</v>
      </c>
      <c r="C93" s="454" t="s">
        <v>2114</v>
      </c>
      <c r="D93" s="1580">
        <v>589084</v>
      </c>
      <c r="E93" s="1580">
        <v>1024819</v>
      </c>
    </row>
    <row r="94" spans="1:5" ht="15.6">
      <c r="A94" s="458">
        <v>89</v>
      </c>
      <c r="B94" s="455" t="s">
        <v>2115</v>
      </c>
      <c r="C94" s="454" t="s">
        <v>2116</v>
      </c>
      <c r="D94" s="1580">
        <v>7568733</v>
      </c>
      <c r="E94" s="1580">
        <v>4029406</v>
      </c>
    </row>
    <row r="95" spans="1:5" ht="15.6">
      <c r="A95" s="458">
        <v>90</v>
      </c>
      <c r="B95" s="455" t="s">
        <v>2117</v>
      </c>
      <c r="C95" s="454" t="s">
        <v>2118</v>
      </c>
      <c r="D95" s="1580">
        <v>5895438</v>
      </c>
      <c r="E95" s="1580">
        <v>6160278</v>
      </c>
    </row>
    <row r="96" spans="1:5" ht="15.6">
      <c r="A96" s="458">
        <v>91</v>
      </c>
      <c r="B96" s="455" t="s">
        <v>2119</v>
      </c>
      <c r="C96" s="454" t="s">
        <v>2120</v>
      </c>
      <c r="D96" s="1580">
        <v>1285982</v>
      </c>
      <c r="E96" s="1580">
        <v>3075168</v>
      </c>
    </row>
    <row r="97" spans="1:5" ht="15.6">
      <c r="A97" s="458">
        <v>92</v>
      </c>
      <c r="B97" s="455" t="s">
        <v>2121</v>
      </c>
      <c r="C97" s="454" t="s">
        <v>2122</v>
      </c>
      <c r="D97" s="1580">
        <v>10615546</v>
      </c>
      <c r="E97" s="1580">
        <v>18000685</v>
      </c>
    </row>
    <row r="98" spans="1:5" ht="15.6">
      <c r="A98" s="458">
        <v>93</v>
      </c>
      <c r="B98" s="455" t="s">
        <v>2123</v>
      </c>
      <c r="C98" s="454" t="s">
        <v>2124</v>
      </c>
      <c r="D98" s="1580">
        <v>0</v>
      </c>
      <c r="E98" s="1580">
        <v>0</v>
      </c>
    </row>
    <row r="99" spans="1:5" ht="15.6">
      <c r="A99" s="458">
        <v>94</v>
      </c>
      <c r="B99" s="455" t="s">
        <v>2125</v>
      </c>
      <c r="C99" s="454" t="s">
        <v>2126</v>
      </c>
      <c r="D99" s="1580">
        <v>3276659</v>
      </c>
      <c r="E99" s="1580">
        <v>2036865</v>
      </c>
    </row>
    <row r="100" spans="1:5" ht="15.6">
      <c r="A100" s="458">
        <v>95</v>
      </c>
      <c r="B100" s="455" t="s">
        <v>2127</v>
      </c>
      <c r="C100" s="454" t="s">
        <v>2128</v>
      </c>
      <c r="D100" s="1580">
        <v>158200</v>
      </c>
      <c r="E100" s="1580">
        <v>73704</v>
      </c>
    </row>
    <row r="101" spans="1:5" ht="15.6">
      <c r="A101" s="458">
        <v>96</v>
      </c>
      <c r="B101" s="455" t="s">
        <v>2129</v>
      </c>
      <c r="C101" s="454" t="s">
        <v>2130</v>
      </c>
      <c r="D101" s="1580">
        <v>0</v>
      </c>
      <c r="E101" s="1580">
        <v>440</v>
      </c>
    </row>
    <row r="102" spans="1:5" ht="15.6">
      <c r="A102" s="458">
        <v>97</v>
      </c>
      <c r="B102" s="455" t="s">
        <v>2131</v>
      </c>
      <c r="C102" s="454" t="s">
        <v>2132</v>
      </c>
      <c r="D102" s="1580">
        <v>2489816</v>
      </c>
      <c r="E102" s="1580">
        <v>3027294</v>
      </c>
    </row>
    <row r="103" spans="1:5" ht="15.6">
      <c r="A103" s="458">
        <v>98</v>
      </c>
      <c r="B103" s="455" t="s">
        <v>2133</v>
      </c>
      <c r="C103" s="454" t="s">
        <v>2134</v>
      </c>
      <c r="D103" s="1580">
        <v>1150207</v>
      </c>
      <c r="E103" s="1580">
        <v>257811</v>
      </c>
    </row>
    <row r="104" spans="1:5" ht="15.6">
      <c r="A104" s="458">
        <v>99</v>
      </c>
      <c r="B104" s="455" t="s">
        <v>2135</v>
      </c>
      <c r="C104" s="454" t="s">
        <v>2136</v>
      </c>
      <c r="D104" s="1580">
        <v>11452907</v>
      </c>
      <c r="E104" s="1580">
        <v>18218506</v>
      </c>
    </row>
    <row r="105" spans="1:5" ht="15.6">
      <c r="A105" s="458">
        <v>100</v>
      </c>
      <c r="B105" s="466" t="s">
        <v>2137</v>
      </c>
      <c r="C105" s="392" t="s">
        <v>2138</v>
      </c>
      <c r="D105" s="1580">
        <v>67865751</v>
      </c>
      <c r="E105" s="1580">
        <v>83287738</v>
      </c>
    </row>
    <row r="106" spans="1:5" ht="15.6">
      <c r="A106" s="458">
        <v>101</v>
      </c>
      <c r="B106" s="465" t="s">
        <v>2139</v>
      </c>
      <c r="C106" s="471" t="s">
        <v>2140</v>
      </c>
      <c r="D106" s="1580">
        <v>26819140</v>
      </c>
      <c r="E106" s="1580">
        <v>0</v>
      </c>
    </row>
    <row r="107" spans="1:5" ht="15.6">
      <c r="A107" s="458">
        <v>102</v>
      </c>
      <c r="B107" s="465" t="s">
        <v>2141</v>
      </c>
      <c r="C107" s="471" t="s">
        <v>2142</v>
      </c>
      <c r="D107" s="1580">
        <v>174885325</v>
      </c>
      <c r="E107" s="1580">
        <v>38304018</v>
      </c>
    </row>
    <row r="108" spans="1:5" ht="15.6">
      <c r="A108" s="458">
        <v>103</v>
      </c>
      <c r="B108" s="465" t="s">
        <v>2010</v>
      </c>
      <c r="C108" s="471" t="s">
        <v>2143</v>
      </c>
      <c r="D108" s="1580">
        <v>28717812</v>
      </c>
      <c r="E108" s="1580">
        <v>3902913</v>
      </c>
    </row>
    <row r="109" spans="1:5" ht="15.6">
      <c r="A109" s="458">
        <v>104</v>
      </c>
      <c r="B109" s="465" t="s">
        <v>2144</v>
      </c>
      <c r="C109" s="392" t="s">
        <v>2145</v>
      </c>
      <c r="D109" s="1580">
        <v>83428892</v>
      </c>
      <c r="E109" s="1580">
        <v>35982968</v>
      </c>
    </row>
    <row r="110" spans="1:5" ht="15.6">
      <c r="A110" s="458">
        <v>105</v>
      </c>
      <c r="B110" s="394" t="s">
        <v>2146</v>
      </c>
      <c r="C110" s="392" t="s">
        <v>2147</v>
      </c>
      <c r="D110" s="1580">
        <v>0</v>
      </c>
      <c r="E110" s="1580">
        <v>39619286</v>
      </c>
    </row>
    <row r="111" spans="1:5" ht="15.6">
      <c r="A111" s="458">
        <v>106</v>
      </c>
      <c r="B111" s="465" t="s">
        <v>2148</v>
      </c>
      <c r="C111" s="392" t="s">
        <v>2149</v>
      </c>
      <c r="D111" s="1580">
        <v>0</v>
      </c>
      <c r="E111" s="1580">
        <v>0</v>
      </c>
    </row>
    <row r="112" spans="1:5" ht="15.6">
      <c r="A112" s="458">
        <v>107</v>
      </c>
      <c r="B112" s="465" t="s">
        <v>2150</v>
      </c>
      <c r="C112" s="392" t="s">
        <v>2151</v>
      </c>
      <c r="D112" s="1580">
        <v>0</v>
      </c>
      <c r="E112" s="1580">
        <v>0</v>
      </c>
    </row>
    <row r="113" spans="1:5" ht="15.6">
      <c r="A113" s="458">
        <v>108</v>
      </c>
      <c r="B113" s="465" t="s">
        <v>2152</v>
      </c>
      <c r="C113" s="392" t="s">
        <v>2153</v>
      </c>
      <c r="D113" s="1580">
        <v>54603613</v>
      </c>
      <c r="E113" s="1580">
        <v>32020</v>
      </c>
    </row>
    <row r="114" spans="1:5" ht="15.6">
      <c r="A114" s="458">
        <v>109</v>
      </c>
      <c r="B114" s="465" t="s">
        <v>2154</v>
      </c>
      <c r="C114" s="392" t="s">
        <v>2155</v>
      </c>
      <c r="D114" s="1580">
        <v>15545148</v>
      </c>
      <c r="E114" s="1580">
        <v>7264568</v>
      </c>
    </row>
    <row r="115" spans="1:5" ht="15.6">
      <c r="A115" s="458">
        <v>110</v>
      </c>
      <c r="B115" s="394" t="s">
        <v>2156</v>
      </c>
      <c r="C115" s="392" t="s">
        <v>2157</v>
      </c>
      <c r="D115" s="1580">
        <v>29796237</v>
      </c>
      <c r="E115" s="1580">
        <v>51553690</v>
      </c>
    </row>
    <row r="116" spans="1:5" ht="15.6">
      <c r="A116" s="458">
        <v>111</v>
      </c>
      <c r="B116" s="394" t="s">
        <v>496</v>
      </c>
      <c r="C116" s="392" t="s">
        <v>2158</v>
      </c>
      <c r="D116" s="1580">
        <v>3970128</v>
      </c>
      <c r="E116" s="1580">
        <v>1897736</v>
      </c>
    </row>
    <row r="117" spans="1:5" ht="15.6">
      <c r="A117" s="458">
        <v>112</v>
      </c>
      <c r="B117" s="394" t="s">
        <v>495</v>
      </c>
      <c r="C117" s="392" t="s">
        <v>2159</v>
      </c>
      <c r="D117" s="1580">
        <v>6361030</v>
      </c>
      <c r="E117" s="1580">
        <v>4149249</v>
      </c>
    </row>
    <row r="118" spans="1:5" ht="15.6">
      <c r="A118" s="458">
        <v>113</v>
      </c>
      <c r="B118" s="394" t="s">
        <v>497</v>
      </c>
      <c r="C118" s="392" t="s">
        <v>2160</v>
      </c>
      <c r="D118" s="1580">
        <v>5303172</v>
      </c>
      <c r="E118" s="1580">
        <v>4570635</v>
      </c>
    </row>
    <row r="119" spans="1:5" ht="15.6">
      <c r="A119" s="458">
        <v>114</v>
      </c>
      <c r="B119" s="394" t="s">
        <v>498</v>
      </c>
      <c r="C119" s="392" t="s">
        <v>2161</v>
      </c>
      <c r="D119" s="1580">
        <v>749915</v>
      </c>
      <c r="E119" s="1580">
        <v>658989</v>
      </c>
    </row>
    <row r="120" spans="1:5" ht="15.6">
      <c r="A120" s="458">
        <v>115</v>
      </c>
      <c r="B120" s="394" t="s">
        <v>499</v>
      </c>
      <c r="C120" s="392" t="s">
        <v>2162</v>
      </c>
      <c r="D120" s="1580">
        <v>738483</v>
      </c>
      <c r="E120" s="1580">
        <v>670662</v>
      </c>
    </row>
    <row r="121" spans="1:5" ht="15.6">
      <c r="A121" s="458">
        <v>116</v>
      </c>
      <c r="B121" s="466" t="s">
        <v>2163</v>
      </c>
      <c r="C121" s="392" t="s">
        <v>2164</v>
      </c>
      <c r="D121" s="1580">
        <v>20694969</v>
      </c>
      <c r="E121" s="1580">
        <v>17187090</v>
      </c>
    </row>
    <row r="122" spans="1:5" ht="15.6">
      <c r="A122" s="458">
        <v>117</v>
      </c>
      <c r="B122" s="394" t="s">
        <v>2165</v>
      </c>
      <c r="C122" s="392" t="s">
        <v>2166</v>
      </c>
      <c r="D122" s="1580">
        <v>67613934</v>
      </c>
      <c r="E122" s="1580">
        <v>80688051</v>
      </c>
    </row>
    <row r="123" spans="1:5" ht="15.6">
      <c r="A123" s="458">
        <v>118</v>
      </c>
      <c r="B123" s="394" t="s">
        <v>2167</v>
      </c>
      <c r="C123" s="392" t="s">
        <v>2168</v>
      </c>
      <c r="D123" s="1580">
        <v>0</v>
      </c>
      <c r="E123" s="1580">
        <v>0</v>
      </c>
    </row>
    <row r="124" spans="1:5" ht="15.6">
      <c r="A124" s="458">
        <v>119</v>
      </c>
      <c r="B124" s="394" t="s">
        <v>2169</v>
      </c>
      <c r="C124" s="392" t="s">
        <v>2170</v>
      </c>
      <c r="D124" s="1580">
        <v>0</v>
      </c>
      <c r="E124" s="1580">
        <v>0</v>
      </c>
    </row>
    <row r="125" spans="1:5" ht="15.6">
      <c r="A125" s="458">
        <v>120</v>
      </c>
      <c r="B125" s="394" t="s">
        <v>2171</v>
      </c>
      <c r="C125" s="392" t="s">
        <v>2172</v>
      </c>
      <c r="D125" s="1580">
        <v>0</v>
      </c>
      <c r="E125" s="1580">
        <v>0</v>
      </c>
    </row>
    <row r="126" spans="1:5" ht="15.6">
      <c r="A126" s="458">
        <v>121</v>
      </c>
      <c r="B126" s="394" t="s">
        <v>2173</v>
      </c>
      <c r="C126" s="392" t="s">
        <v>2174</v>
      </c>
      <c r="D126" s="1580">
        <v>0</v>
      </c>
      <c r="E126" s="1580">
        <v>0</v>
      </c>
    </row>
    <row r="127" spans="1:5" ht="15.6">
      <c r="A127" s="458">
        <v>122</v>
      </c>
      <c r="B127" s="394" t="s">
        <v>2175</v>
      </c>
      <c r="C127" s="392" t="s">
        <v>2176</v>
      </c>
      <c r="D127" s="1580">
        <v>0</v>
      </c>
      <c r="E127" s="1580">
        <v>0</v>
      </c>
    </row>
    <row r="128" spans="1:5" ht="15.6">
      <c r="A128" s="458">
        <v>123</v>
      </c>
      <c r="B128" s="394" t="s">
        <v>2177</v>
      </c>
      <c r="C128" s="392" t="s">
        <v>2178</v>
      </c>
      <c r="D128" s="1581">
        <v>17322509</v>
      </c>
      <c r="E128" s="1581">
        <v>10786185</v>
      </c>
    </row>
    <row r="129" spans="1:9" ht="15.6">
      <c r="A129" s="458">
        <v>124</v>
      </c>
      <c r="B129" s="394" t="s">
        <v>2179</v>
      </c>
      <c r="C129" s="392" t="s">
        <v>2180</v>
      </c>
      <c r="D129" s="1582">
        <v>3778571000</v>
      </c>
      <c r="E129" s="1582">
        <v>1180799000</v>
      </c>
    </row>
    <row r="130" spans="1:9" ht="15.6">
      <c r="A130" s="458">
        <v>125</v>
      </c>
      <c r="B130" s="455" t="s">
        <v>2181</v>
      </c>
      <c r="C130" s="454" t="s">
        <v>2182</v>
      </c>
      <c r="D130" s="1580">
        <v>1267921</v>
      </c>
      <c r="E130" s="1580">
        <v>396197</v>
      </c>
    </row>
    <row r="131" spans="1:9" ht="15.6">
      <c r="A131" s="458">
        <v>126</v>
      </c>
      <c r="B131" s="455" t="s">
        <v>2183</v>
      </c>
      <c r="C131" s="454" t="s">
        <v>2184</v>
      </c>
      <c r="D131" s="1580">
        <v>1774819092</v>
      </c>
      <c r="E131" s="1580">
        <v>511249597</v>
      </c>
    </row>
    <row r="132" spans="1:9" ht="15.6">
      <c r="A132" s="458">
        <v>127</v>
      </c>
      <c r="B132" s="455" t="s">
        <v>2185</v>
      </c>
      <c r="C132" s="454" t="s">
        <v>2186</v>
      </c>
      <c r="D132" s="1580">
        <v>3980083</v>
      </c>
      <c r="E132" s="1580">
        <v>1243319</v>
      </c>
    </row>
    <row r="133" spans="1:9" ht="15.6">
      <c r="A133" s="458">
        <v>128</v>
      </c>
      <c r="B133" s="455" t="s">
        <v>2187</v>
      </c>
      <c r="C133" s="454" t="s">
        <v>2188</v>
      </c>
      <c r="D133" s="1580">
        <v>0</v>
      </c>
      <c r="E133" s="1580">
        <v>0</v>
      </c>
    </row>
    <row r="134" spans="1:9" ht="15.6">
      <c r="A134" s="458">
        <v>129</v>
      </c>
      <c r="B134" s="455" t="s">
        <v>2189</v>
      </c>
      <c r="C134" s="454" t="s">
        <v>2190</v>
      </c>
      <c r="D134" s="1580">
        <v>0</v>
      </c>
      <c r="E134" s="1580">
        <v>0</v>
      </c>
      <c r="G134" s="455"/>
      <c r="H134" s="454"/>
      <c r="I134" s="472"/>
    </row>
    <row r="135" spans="1:9" ht="15.6">
      <c r="A135" s="458">
        <v>130</v>
      </c>
      <c r="B135" s="455" t="s">
        <v>2191</v>
      </c>
      <c r="C135" s="454" t="s">
        <v>2192</v>
      </c>
      <c r="D135" s="1580">
        <v>860093</v>
      </c>
      <c r="E135" s="1580">
        <v>268779</v>
      </c>
      <c r="G135" s="455"/>
      <c r="H135" s="454"/>
      <c r="I135" s="472"/>
    </row>
    <row r="136" spans="1:9" ht="15.6">
      <c r="A136" s="458">
        <v>131</v>
      </c>
      <c r="B136" s="455" t="s">
        <v>2193</v>
      </c>
      <c r="C136" s="454" t="s">
        <v>2194</v>
      </c>
      <c r="D136" s="1580">
        <v>5359185</v>
      </c>
      <c r="E136" s="1580">
        <v>1646483</v>
      </c>
      <c r="G136" s="455"/>
      <c r="H136" s="454"/>
      <c r="I136" s="472"/>
    </row>
    <row r="137" spans="1:9" ht="15.6">
      <c r="A137" s="458">
        <v>132</v>
      </c>
      <c r="B137" s="455" t="s">
        <v>2195</v>
      </c>
      <c r="C137" s="454" t="s">
        <v>2196</v>
      </c>
      <c r="D137" s="1580">
        <v>0</v>
      </c>
      <c r="E137" s="1580">
        <v>0</v>
      </c>
      <c r="G137" s="455"/>
      <c r="H137" s="454"/>
    </row>
    <row r="138" spans="1:9" ht="15.6">
      <c r="A138" s="458">
        <v>133</v>
      </c>
      <c r="B138" s="455" t="s">
        <v>2197</v>
      </c>
      <c r="C138" s="454" t="s">
        <v>2198</v>
      </c>
      <c r="D138" s="1580">
        <v>0</v>
      </c>
      <c r="E138" s="1580">
        <v>-9</v>
      </c>
      <c r="G138" s="455"/>
      <c r="H138" s="454"/>
    </row>
    <row r="139" spans="1:9" ht="15.6">
      <c r="A139" s="458">
        <v>134</v>
      </c>
      <c r="B139" s="455" t="s">
        <v>2199</v>
      </c>
      <c r="C139" s="454" t="s">
        <v>2200</v>
      </c>
      <c r="D139" s="1580">
        <v>1597812</v>
      </c>
      <c r="E139" s="1580">
        <v>499316</v>
      </c>
      <c r="G139" s="455"/>
      <c r="H139" s="454"/>
    </row>
    <row r="140" spans="1:9" ht="15.6">
      <c r="A140" s="458">
        <v>135</v>
      </c>
      <c r="B140" s="455" t="s">
        <v>2201</v>
      </c>
      <c r="C140" s="454" t="s">
        <v>2202</v>
      </c>
      <c r="D140" s="1580">
        <v>2129510</v>
      </c>
      <c r="E140" s="1580">
        <v>665471</v>
      </c>
      <c r="G140" s="455"/>
      <c r="H140" s="454"/>
    </row>
    <row r="141" spans="1:9" ht="15.6">
      <c r="A141" s="458">
        <v>136</v>
      </c>
      <c r="B141" s="455" t="s">
        <v>2203</v>
      </c>
      <c r="C141" s="454" t="s">
        <v>2204</v>
      </c>
      <c r="D141" s="1580">
        <v>9616588</v>
      </c>
      <c r="E141" s="1580">
        <v>3008616</v>
      </c>
      <c r="G141" s="455"/>
      <c r="H141" s="454"/>
    </row>
    <row r="142" spans="1:9" ht="15.6">
      <c r="A142" s="458">
        <v>137</v>
      </c>
      <c r="B142" s="455" t="s">
        <v>2205</v>
      </c>
      <c r="C142" s="454" t="s">
        <v>2206</v>
      </c>
      <c r="D142" s="1580">
        <v>4682740</v>
      </c>
      <c r="E142" s="1580">
        <v>1463284</v>
      </c>
      <c r="G142" s="455"/>
      <c r="H142" s="454"/>
    </row>
    <row r="143" spans="1:9" ht="15.6">
      <c r="A143" s="458">
        <v>138</v>
      </c>
      <c r="B143" s="455" t="s">
        <v>2207</v>
      </c>
      <c r="C143" s="454" t="s">
        <v>2208</v>
      </c>
      <c r="D143" s="1580">
        <v>1920603</v>
      </c>
      <c r="E143" s="1580">
        <v>586637</v>
      </c>
      <c r="G143" s="455"/>
      <c r="H143" s="454"/>
    </row>
    <row r="144" spans="1:9" ht="15.6">
      <c r="A144" s="454"/>
      <c r="B144" s="455"/>
      <c r="C144" s="454"/>
      <c r="D144" s="636"/>
      <c r="E144" s="614"/>
      <c r="H144" s="454"/>
    </row>
    <row r="145" spans="1:8" ht="15.6">
      <c r="A145" s="454"/>
      <c r="B145" s="473" t="s">
        <v>2209</v>
      </c>
      <c r="C145" s="454"/>
      <c r="D145" s="636"/>
      <c r="E145" s="614"/>
      <c r="H145" s="454"/>
    </row>
    <row r="146" spans="1:8" ht="15.6">
      <c r="A146" s="454">
        <v>139</v>
      </c>
      <c r="B146" s="455" t="s">
        <v>2210</v>
      </c>
      <c r="C146" s="454" t="s">
        <v>2211</v>
      </c>
      <c r="D146" s="1583">
        <v>0</v>
      </c>
      <c r="E146" s="614"/>
      <c r="H146" s="454"/>
    </row>
    <row r="147" spans="1:8" ht="15.6">
      <c r="A147" s="454">
        <v>140</v>
      </c>
      <c r="B147" s="455" t="s">
        <v>2212</v>
      </c>
      <c r="C147" s="454" t="s">
        <v>2211</v>
      </c>
      <c r="D147" s="1583">
        <v>0</v>
      </c>
      <c r="E147" s="614"/>
      <c r="H147" s="454"/>
    </row>
    <row r="148" spans="1:8" ht="15.6">
      <c r="A148" s="454">
        <v>141</v>
      </c>
      <c r="B148" s="455" t="s">
        <v>2213</v>
      </c>
      <c r="C148" s="454" t="s">
        <v>2211</v>
      </c>
      <c r="D148" s="1583">
        <v>516.84</v>
      </c>
      <c r="E148" s="614"/>
      <c r="H148" s="454"/>
    </row>
    <row r="149" spans="1:8" ht="15.6">
      <c r="A149" s="454">
        <v>142</v>
      </c>
      <c r="B149" s="455" t="s">
        <v>2214</v>
      </c>
      <c r="C149" s="454" t="s">
        <v>2211</v>
      </c>
      <c r="D149" s="1583">
        <v>2.75</v>
      </c>
      <c r="E149" s="614"/>
      <c r="H149" s="454"/>
    </row>
    <row r="150" spans="1:8" ht="15.6">
      <c r="A150" s="454">
        <v>143</v>
      </c>
      <c r="B150" s="455" t="s">
        <v>2215</v>
      </c>
      <c r="C150" s="454" t="s">
        <v>2211</v>
      </c>
      <c r="D150" s="1583">
        <v>323.10000000000002</v>
      </c>
      <c r="E150" s="614"/>
      <c r="H150" s="454"/>
    </row>
    <row r="151" spans="1:8" ht="15.6">
      <c r="A151" s="454">
        <v>144</v>
      </c>
      <c r="B151" s="455" t="s">
        <v>2216</v>
      </c>
      <c r="C151" s="454" t="s">
        <v>2211</v>
      </c>
      <c r="D151" s="1583">
        <v>375.02</v>
      </c>
      <c r="E151" s="1331"/>
      <c r="H151" s="454"/>
    </row>
    <row r="152" spans="1:8" ht="15.6">
      <c r="A152" s="454">
        <v>145</v>
      </c>
      <c r="B152" s="455" t="s">
        <v>2217</v>
      </c>
      <c r="C152" s="454" t="s">
        <v>2211</v>
      </c>
      <c r="D152" s="1583">
        <v>346.12</v>
      </c>
      <c r="E152" s="614"/>
      <c r="H152" s="454"/>
    </row>
    <row r="153" spans="1:8" ht="15.6">
      <c r="A153" s="454">
        <v>146</v>
      </c>
      <c r="B153" s="455" t="s">
        <v>2218</v>
      </c>
      <c r="C153" s="454" t="s">
        <v>2211</v>
      </c>
      <c r="D153" s="1583">
        <v>0</v>
      </c>
      <c r="E153" s="614"/>
      <c r="H153" s="454"/>
    </row>
    <row r="154" spans="1:8" ht="15.6">
      <c r="A154" s="454">
        <v>147</v>
      </c>
      <c r="B154" s="455" t="s">
        <v>2219</v>
      </c>
      <c r="C154" s="454" t="s">
        <v>2211</v>
      </c>
      <c r="D154" s="1583">
        <v>1382.4</v>
      </c>
      <c r="E154" s="1583">
        <v>432</v>
      </c>
      <c r="H154" s="454"/>
    </row>
    <row r="155" spans="1:8" ht="15.6">
      <c r="A155" s="454">
        <v>148</v>
      </c>
      <c r="B155" s="455" t="s">
        <v>2220</v>
      </c>
      <c r="C155" s="454" t="s">
        <v>2211</v>
      </c>
      <c r="D155" s="1583">
        <v>730.34</v>
      </c>
      <c r="E155" s="614"/>
      <c r="H155" s="454"/>
    </row>
    <row r="156" spans="1:8" ht="15.6">
      <c r="A156" s="454">
        <v>149</v>
      </c>
      <c r="B156" s="455" t="s">
        <v>2221</v>
      </c>
      <c r="C156" s="454" t="s">
        <v>2211</v>
      </c>
      <c r="D156" s="1583">
        <v>50</v>
      </c>
      <c r="E156" s="614"/>
      <c r="H156" s="454"/>
    </row>
    <row r="157" spans="1:8" ht="15.6">
      <c r="A157" s="454">
        <v>150</v>
      </c>
      <c r="B157" s="455" t="s">
        <v>2222</v>
      </c>
      <c r="C157" s="454" t="s">
        <v>2211</v>
      </c>
      <c r="D157" s="1584">
        <v>100.98</v>
      </c>
      <c r="E157" s="614"/>
      <c r="H157" s="454"/>
    </row>
    <row r="158" spans="1:8" ht="15.6">
      <c r="A158" s="454">
        <v>151</v>
      </c>
      <c r="B158" s="455" t="s">
        <v>2223</v>
      </c>
      <c r="C158" s="454"/>
      <c r="D158" s="637">
        <f>SUM(D146:D157)</f>
        <v>3827.55</v>
      </c>
      <c r="E158" s="638"/>
      <c r="H158" s="454"/>
    </row>
    <row r="159" spans="1:8" ht="15.6">
      <c r="B159" s="465"/>
      <c r="H159" s="454"/>
    </row>
    <row r="160" spans="1:8" ht="15.6">
      <c r="B160" s="465"/>
      <c r="H160" s="454"/>
    </row>
    <row r="161" spans="2:8" ht="15.6">
      <c r="B161" s="465"/>
      <c r="H161" s="454"/>
    </row>
    <row r="162" spans="2:8" ht="15.6">
      <c r="B162" s="465"/>
      <c r="H162" s="454"/>
    </row>
    <row r="163" spans="2:8" ht="15.6">
      <c r="B163" s="465"/>
    </row>
    <row r="164" spans="2:8" ht="15.6">
      <c r="B164" s="465"/>
    </row>
    <row r="165" spans="2:8" ht="15.6">
      <c r="B165" s="465"/>
    </row>
    <row r="166" spans="2:8" ht="15.6">
      <c r="B166" s="465"/>
    </row>
    <row r="167" spans="2:8" ht="15.6">
      <c r="B167" s="465"/>
    </row>
    <row r="168" spans="2:8" ht="15.6">
      <c r="B168" s="465"/>
    </row>
    <row r="169" spans="2:8" ht="15.6">
      <c r="B169" s="465"/>
    </row>
    <row r="170" spans="2:8" ht="15.6">
      <c r="B170" s="465"/>
    </row>
    <row r="171" spans="2:8" ht="15.6">
      <c r="B171" s="465"/>
    </row>
    <row r="172" spans="2:8" ht="15.6">
      <c r="B172" s="465"/>
    </row>
    <row r="173" spans="2:8" ht="15.6">
      <c r="B173" s="465"/>
    </row>
    <row r="174" spans="2:8" ht="15.6">
      <c r="B174" s="465"/>
    </row>
    <row r="175" spans="2:8" ht="15.6">
      <c r="B175" s="465"/>
    </row>
    <row r="176" spans="2:8" ht="15.6">
      <c r="B176" s="465"/>
    </row>
    <row r="177" spans="2:2" ht="15.6">
      <c r="B177" s="465"/>
    </row>
    <row r="178" spans="2:2" ht="15.6">
      <c r="B178" s="465"/>
    </row>
    <row r="179" spans="2:2" ht="15.6">
      <c r="B179" s="465"/>
    </row>
    <row r="180" spans="2:2" ht="15.6">
      <c r="B180" s="465"/>
    </row>
    <row r="181" spans="2:2" ht="15.6">
      <c r="B181" s="465"/>
    </row>
    <row r="182" spans="2:2" ht="15.6">
      <c r="B182" s="465"/>
    </row>
    <row r="183" spans="2:2" ht="15.6">
      <c r="B183" s="465"/>
    </row>
    <row r="184" spans="2:2" ht="15.6">
      <c r="B184" s="465"/>
    </row>
    <row r="185" spans="2:2" ht="15.6">
      <c r="B185" s="465"/>
    </row>
    <row r="186" spans="2:2" ht="15.6">
      <c r="B186" s="465"/>
    </row>
    <row r="187" spans="2:2" ht="15.6">
      <c r="B187" s="465"/>
    </row>
    <row r="188" spans="2:2" ht="15.6">
      <c r="B188" s="465"/>
    </row>
    <row r="189" spans="2:2" ht="15.6">
      <c r="B189" s="465"/>
    </row>
    <row r="190" spans="2:2" ht="15.6">
      <c r="B190" s="465"/>
    </row>
    <row r="191" spans="2:2" ht="15.6">
      <c r="B191" s="465"/>
    </row>
    <row r="192" spans="2:2" ht="15.6">
      <c r="B192" s="465"/>
    </row>
    <row r="193" spans="2:2" ht="15.6">
      <c r="B193" s="465"/>
    </row>
    <row r="194" spans="2:2" ht="15.6">
      <c r="B194" s="465"/>
    </row>
    <row r="195" spans="2:2" ht="15.6">
      <c r="B195" s="465"/>
    </row>
    <row r="196" spans="2:2" ht="15.6">
      <c r="B196" s="465"/>
    </row>
    <row r="197" spans="2:2" ht="15.6">
      <c r="B197" s="465"/>
    </row>
    <row r="198" spans="2:2" ht="15.6">
      <c r="B198" s="465"/>
    </row>
    <row r="199" spans="2:2" ht="15.6">
      <c r="B199" s="465"/>
    </row>
    <row r="200" spans="2:2" ht="15.6">
      <c r="B200" s="465"/>
    </row>
    <row r="201" spans="2:2" ht="15.6">
      <c r="B201" s="465"/>
    </row>
    <row r="202" spans="2:2" ht="15.6">
      <c r="B202" s="465"/>
    </row>
    <row r="203" spans="2:2" ht="15.6">
      <c r="B203" s="465"/>
    </row>
    <row r="204" spans="2:2" ht="15.6">
      <c r="B204" s="465"/>
    </row>
    <row r="205" spans="2:2" ht="15.6">
      <c r="B205" s="465"/>
    </row>
    <row r="206" spans="2:2" ht="15.6">
      <c r="B206" s="465"/>
    </row>
    <row r="207" spans="2:2" ht="15.6">
      <c r="B207" s="465"/>
    </row>
    <row r="208" spans="2:2" ht="15.6">
      <c r="B208" s="465"/>
    </row>
    <row r="209" spans="2:2" ht="15.6">
      <c r="B209" s="465"/>
    </row>
    <row r="210" spans="2:2" ht="15.6">
      <c r="B210" s="465"/>
    </row>
    <row r="211" spans="2:2" ht="15.6">
      <c r="B211" s="465"/>
    </row>
    <row r="212" spans="2:2" ht="15.6">
      <c r="B212" s="465"/>
    </row>
    <row r="213" spans="2:2" ht="15.6">
      <c r="B213" s="465"/>
    </row>
    <row r="214" spans="2:2" ht="15.6">
      <c r="B214" s="465"/>
    </row>
    <row r="215" spans="2:2" ht="15.6">
      <c r="B215" s="465"/>
    </row>
    <row r="216" spans="2:2" ht="15.6">
      <c r="B216" s="465"/>
    </row>
    <row r="217" spans="2:2" ht="15.6">
      <c r="B217" s="465"/>
    </row>
    <row r="218" spans="2:2" ht="15.6">
      <c r="B218" s="465"/>
    </row>
    <row r="219" spans="2:2" ht="15.6">
      <c r="B219" s="465"/>
    </row>
    <row r="220" spans="2:2" ht="15.6">
      <c r="B220" s="465"/>
    </row>
    <row r="221" spans="2:2" ht="15.6">
      <c r="B221" s="465"/>
    </row>
    <row r="222" spans="2:2" ht="15.6">
      <c r="B222" s="465"/>
    </row>
    <row r="223" spans="2:2" ht="15.6">
      <c r="B223" s="465"/>
    </row>
    <row r="224" spans="2:2" ht="15.6">
      <c r="B224" s="465"/>
    </row>
    <row r="225" spans="2:2" ht="15.6">
      <c r="B225" s="465"/>
    </row>
    <row r="226" spans="2:2" ht="15.6">
      <c r="B226" s="465"/>
    </row>
    <row r="227" spans="2:2" ht="15.6">
      <c r="B227" s="465"/>
    </row>
    <row r="228" spans="2:2" ht="15.6">
      <c r="B228" s="465"/>
    </row>
    <row r="229" spans="2:2" ht="15.6">
      <c r="B229" s="465"/>
    </row>
    <row r="230" spans="2:2" ht="15.6">
      <c r="B230" s="465"/>
    </row>
    <row r="231" spans="2:2" ht="15.6">
      <c r="B231" s="465"/>
    </row>
    <row r="232" spans="2:2" ht="15.6">
      <c r="B232" s="465"/>
    </row>
    <row r="233" spans="2:2" ht="15.6">
      <c r="B233" s="465"/>
    </row>
    <row r="234" spans="2:2" ht="15.6">
      <c r="B234" s="465"/>
    </row>
    <row r="235" spans="2:2" ht="15.6">
      <c r="B235" s="465"/>
    </row>
    <row r="236" spans="2:2" ht="15.6">
      <c r="B236" s="465"/>
    </row>
    <row r="237" spans="2:2" ht="15.6">
      <c r="B237" s="465"/>
    </row>
    <row r="238" spans="2:2" ht="15.6">
      <c r="B238" s="465"/>
    </row>
    <row r="239" spans="2:2" ht="15.6">
      <c r="B239" s="465"/>
    </row>
    <row r="240" spans="2:2" ht="15.6">
      <c r="B240" s="465"/>
    </row>
    <row r="241" spans="2:2" ht="15.6">
      <c r="B241" s="465"/>
    </row>
    <row r="242" spans="2:2" ht="15.6">
      <c r="B242" s="465"/>
    </row>
    <row r="243" spans="2:2" ht="15.6">
      <c r="B243" s="465"/>
    </row>
    <row r="244" spans="2:2" ht="15.6">
      <c r="B244" s="465"/>
    </row>
    <row r="245" spans="2:2" ht="15.6">
      <c r="B245" s="465"/>
    </row>
    <row r="246" spans="2:2" ht="15.6">
      <c r="B246" s="465"/>
    </row>
    <row r="247" spans="2:2" ht="15.6">
      <c r="B247" s="465"/>
    </row>
    <row r="248" spans="2:2" ht="15.6">
      <c r="B248" s="465"/>
    </row>
    <row r="249" spans="2:2" ht="15.6">
      <c r="B249" s="465"/>
    </row>
    <row r="250" spans="2:2" ht="15.6">
      <c r="B250" s="465"/>
    </row>
    <row r="251" spans="2:2" ht="15.6">
      <c r="B251" s="465"/>
    </row>
    <row r="252" spans="2:2" ht="15.6">
      <c r="B252" s="465"/>
    </row>
    <row r="253" spans="2:2" ht="15.6">
      <c r="B253" s="465"/>
    </row>
    <row r="254" spans="2:2" ht="15.6">
      <c r="B254" s="465"/>
    </row>
    <row r="255" spans="2:2" ht="15.6">
      <c r="B255" s="465"/>
    </row>
    <row r="256" spans="2:2" ht="15.6">
      <c r="B256" s="465"/>
    </row>
    <row r="257" spans="2:2" ht="15.6">
      <c r="B257" s="465"/>
    </row>
    <row r="258" spans="2:2" ht="15.6">
      <c r="B258" s="465"/>
    </row>
    <row r="259" spans="2:2" ht="15.6">
      <c r="B259" s="465"/>
    </row>
    <row r="260" spans="2:2" ht="15.6">
      <c r="B260" s="465"/>
    </row>
    <row r="261" spans="2:2" ht="15.6">
      <c r="B261" s="465"/>
    </row>
    <row r="262" spans="2:2" ht="15.6">
      <c r="B262" s="465"/>
    </row>
    <row r="263" spans="2:2" ht="15.6">
      <c r="B263" s="465"/>
    </row>
    <row r="264" spans="2:2" ht="15.6">
      <c r="B264" s="465"/>
    </row>
    <row r="265" spans="2:2" ht="15.6">
      <c r="B265" s="465"/>
    </row>
  </sheetData>
  <sheetProtection sheet="1" objects="1" scenarios="1"/>
  <mergeCells count="3">
    <mergeCell ref="A1:E1"/>
    <mergeCell ref="A2:E2"/>
    <mergeCell ref="A3:E3"/>
  </mergeCells>
  <pageMargins left="0.7" right="0.7" top="0.75" bottom="0.75" header="0.3" footer="0.3"/>
  <pageSetup scale="64" fitToHeight="0" orientation="portrait" r:id="rId1"/>
  <headerFooter>
    <oddHeader>&amp;C&amp;"Times New Roman,Bold"&amp;14ATTACHMENT D, Page &amp;P of &amp;N
EVERGY</oddHeader>
    <oddFooter>&amp;R&amp;1#&amp;"Calibri"&amp;10&amp;KA80000Internal Use 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I502"/>
  <sheetViews>
    <sheetView view="pageBreakPreview" zoomScale="90" zoomScaleNormal="75" zoomScaleSheetLayoutView="90" workbookViewId="0">
      <pane xSplit="3" ySplit="10" topLeftCell="D331" activePane="bottomRight" state="frozen"/>
      <selection activeCell="M16" sqref="M16"/>
      <selection pane="topRight" activeCell="M16" sqref="M16"/>
      <selection pane="bottomLeft" activeCell="M16" sqref="M16"/>
      <selection pane="bottomRight" activeCell="A332" sqref="A332"/>
    </sheetView>
  </sheetViews>
  <sheetFormatPr defaultColWidth="9.109375" defaultRowHeight="13.2"/>
  <cols>
    <col min="1" max="1" width="7.6640625" style="38" customWidth="1"/>
    <col min="2" max="2" width="8.33203125" style="38" customWidth="1"/>
    <col min="3" max="4" width="20.6640625" style="9" customWidth="1"/>
    <col min="5" max="5" width="23" style="9" customWidth="1"/>
    <col min="6" max="6" width="50.5546875" style="9" customWidth="1"/>
    <col min="7" max="7" width="59.6640625" style="9" customWidth="1"/>
    <col min="8" max="16384" width="9.109375" style="9"/>
  </cols>
  <sheetData>
    <row r="1" spans="1:7" ht="20.399999999999999">
      <c r="A1" s="1760" t="s">
        <v>3016</v>
      </c>
      <c r="B1" s="1760"/>
      <c r="C1" s="1760"/>
      <c r="D1" s="1760"/>
      <c r="E1" s="1760"/>
      <c r="F1" s="1760"/>
      <c r="G1" s="1761"/>
    </row>
    <row r="2" spans="1:7" ht="19.2">
      <c r="A2" s="1759" t="str">
        <f>' Net Monthly Bill'!A2:B2</f>
        <v>For Contract Year Beginning June 1, 2024, Based on 2023 Data</v>
      </c>
      <c r="B2" s="1731"/>
      <c r="C2" s="1731"/>
      <c r="D2" s="1731"/>
      <c r="E2" s="1731"/>
      <c r="F2" s="1731"/>
      <c r="G2" s="1731"/>
    </row>
    <row r="3" spans="1:7">
      <c r="G3" s="28"/>
    </row>
    <row r="4" spans="1:7" ht="13.8">
      <c r="C4" s="410"/>
      <c r="D4" s="402" t="s">
        <v>480</v>
      </c>
      <c r="E4" s="402" t="s">
        <v>481</v>
      </c>
      <c r="F4" s="402" t="s">
        <v>482</v>
      </c>
      <c r="G4" s="402" t="s">
        <v>483</v>
      </c>
    </row>
    <row r="5" spans="1:7">
      <c r="E5" s="411" t="s">
        <v>1578</v>
      </c>
      <c r="F5" s="402" t="s">
        <v>476</v>
      </c>
      <c r="G5" s="28"/>
    </row>
    <row r="6" spans="1:7" ht="15.6">
      <c r="D6" s="402" t="s">
        <v>476</v>
      </c>
      <c r="E6" s="402" t="s">
        <v>1570</v>
      </c>
      <c r="F6" s="402" t="s">
        <v>2273</v>
      </c>
      <c r="G6" s="402" t="s">
        <v>486</v>
      </c>
    </row>
    <row r="7" spans="1:7">
      <c r="D7" s="402" t="s">
        <v>487</v>
      </c>
      <c r="E7" s="402" t="s">
        <v>1581</v>
      </c>
      <c r="F7" s="402"/>
      <c r="G7" s="402" t="s">
        <v>300</v>
      </c>
    </row>
    <row r="8" spans="1:7">
      <c r="D8" s="402"/>
      <c r="E8" s="402" t="s">
        <v>1582</v>
      </c>
      <c r="F8" s="402"/>
      <c r="G8" s="28"/>
    </row>
    <row r="9" spans="1:7" ht="16.2">
      <c r="A9" s="10" t="s">
        <v>531</v>
      </c>
      <c r="B9" s="38" t="s">
        <v>1078</v>
      </c>
      <c r="C9" s="9" t="s">
        <v>2272</v>
      </c>
      <c r="D9" s="406"/>
      <c r="E9" s="406"/>
      <c r="F9" s="406"/>
      <c r="G9" s="28"/>
    </row>
    <row r="10" spans="1:7" ht="13.8">
      <c r="D10" s="406"/>
      <c r="E10" s="406"/>
      <c r="F10" s="406"/>
      <c r="G10" s="28"/>
    </row>
    <row r="11" spans="1:7" ht="148.19999999999999" customHeight="1">
      <c r="A11" s="239">
        <v>1</v>
      </c>
      <c r="B11" s="30" t="s">
        <v>1159</v>
      </c>
      <c r="C11" s="28" t="s">
        <v>894</v>
      </c>
      <c r="D11" s="541">
        <v>0</v>
      </c>
      <c r="E11" s="132" t="s">
        <v>1534</v>
      </c>
      <c r="F11" s="249" t="s">
        <v>117</v>
      </c>
      <c r="G11" s="31" t="s">
        <v>1377</v>
      </c>
    </row>
    <row r="12" spans="1:7" ht="12.75" customHeight="1">
      <c r="A12" s="239">
        <f>A11+1</f>
        <v>2</v>
      </c>
      <c r="B12" s="30" t="s">
        <v>1159</v>
      </c>
      <c r="C12" s="28" t="s">
        <v>895</v>
      </c>
      <c r="D12" s="541">
        <v>0</v>
      </c>
      <c r="E12" s="132" t="s">
        <v>1534</v>
      </c>
      <c r="F12" s="249" t="s">
        <v>118</v>
      </c>
      <c r="G12" s="31" t="s">
        <v>73</v>
      </c>
    </row>
    <row r="13" spans="1:7" ht="55.95" customHeight="1">
      <c r="A13" s="239">
        <f>A12+1</f>
        <v>3</v>
      </c>
      <c r="B13" s="30" t="s">
        <v>1159</v>
      </c>
      <c r="C13" s="32" t="s">
        <v>896</v>
      </c>
      <c r="D13" s="544">
        <v>0</v>
      </c>
      <c r="E13" s="132" t="s">
        <v>1534</v>
      </c>
      <c r="F13" s="31" t="s">
        <v>119</v>
      </c>
      <c r="G13" s="31" t="s">
        <v>1378</v>
      </c>
    </row>
    <row r="14" spans="1:7" ht="26.4">
      <c r="A14" s="239">
        <f t="shared" ref="A14:A77" si="0">A13+1</f>
        <v>4</v>
      </c>
      <c r="B14" s="30" t="s">
        <v>1159</v>
      </c>
      <c r="C14" s="32" t="s">
        <v>493</v>
      </c>
      <c r="D14" s="544">
        <v>0</v>
      </c>
      <c r="E14" s="132" t="s">
        <v>1534</v>
      </c>
      <c r="F14" s="28" t="s">
        <v>120</v>
      </c>
      <c r="G14" s="31" t="s">
        <v>228</v>
      </c>
    </row>
    <row r="15" spans="1:7">
      <c r="A15" s="239">
        <f t="shared" si="0"/>
        <v>5</v>
      </c>
      <c r="B15" s="30" t="s">
        <v>1159</v>
      </c>
      <c r="C15" s="32" t="s">
        <v>229</v>
      </c>
      <c r="D15" s="544">
        <v>0</v>
      </c>
      <c r="E15" s="132" t="s">
        <v>1585</v>
      </c>
      <c r="F15" s="28" t="s">
        <v>230</v>
      </c>
      <c r="G15" s="28" t="s">
        <v>231</v>
      </c>
    </row>
    <row r="16" spans="1:7" ht="69" customHeight="1">
      <c r="A16" s="239">
        <f t="shared" si="0"/>
        <v>6</v>
      </c>
      <c r="B16" s="30" t="s">
        <v>1159</v>
      </c>
      <c r="C16" s="32" t="s">
        <v>801</v>
      </c>
      <c r="D16" s="544">
        <v>0</v>
      </c>
      <c r="E16" s="132" t="s">
        <v>1534</v>
      </c>
      <c r="F16" s="28" t="s">
        <v>121</v>
      </c>
      <c r="G16" s="31" t="s">
        <v>890</v>
      </c>
    </row>
    <row r="17" spans="1:7" ht="39.6">
      <c r="A17" s="239">
        <f t="shared" si="0"/>
        <v>7</v>
      </c>
      <c r="B17" s="30" t="s">
        <v>1159</v>
      </c>
      <c r="C17" s="32" t="s">
        <v>802</v>
      </c>
      <c r="D17" s="544">
        <v>0</v>
      </c>
      <c r="E17" s="132" t="s">
        <v>1534</v>
      </c>
      <c r="F17" s="28" t="s">
        <v>122</v>
      </c>
      <c r="G17" s="31" t="s">
        <v>796</v>
      </c>
    </row>
    <row r="18" spans="1:7" ht="39.6">
      <c r="A18" s="239">
        <f t="shared" si="0"/>
        <v>8</v>
      </c>
      <c r="B18" s="30" t="s">
        <v>1159</v>
      </c>
      <c r="C18" s="32" t="s">
        <v>803</v>
      </c>
      <c r="D18" s="544">
        <v>0</v>
      </c>
      <c r="E18" s="132" t="s">
        <v>1534</v>
      </c>
      <c r="F18" s="28" t="s">
        <v>123</v>
      </c>
      <c r="G18" s="31" t="s">
        <v>161</v>
      </c>
    </row>
    <row r="19" spans="1:7" ht="107.4" customHeight="1">
      <c r="A19" s="239">
        <f t="shared" si="0"/>
        <v>9</v>
      </c>
      <c r="B19" s="30" t="s">
        <v>1159</v>
      </c>
      <c r="C19" s="32" t="s">
        <v>805</v>
      </c>
      <c r="D19" s="544">
        <v>0</v>
      </c>
      <c r="E19" s="132" t="s">
        <v>1585</v>
      </c>
      <c r="F19" s="28" t="s">
        <v>124</v>
      </c>
      <c r="G19" s="31" t="s">
        <v>127</v>
      </c>
    </row>
    <row r="20" spans="1:7" ht="43.2" customHeight="1">
      <c r="A20" s="239">
        <f t="shared" si="0"/>
        <v>10</v>
      </c>
      <c r="B20" s="30" t="s">
        <v>1159</v>
      </c>
      <c r="C20" s="620" t="s">
        <v>125</v>
      </c>
      <c r="D20" s="544">
        <v>0</v>
      </c>
      <c r="E20" s="132" t="s">
        <v>1585</v>
      </c>
      <c r="F20" s="28" t="s">
        <v>233</v>
      </c>
      <c r="G20" s="31" t="s">
        <v>234</v>
      </c>
    </row>
    <row r="21" spans="1:7" ht="54.6" customHeight="1">
      <c r="A21" s="239">
        <f t="shared" si="0"/>
        <v>11</v>
      </c>
      <c r="B21" s="30" t="s">
        <v>1159</v>
      </c>
      <c r="C21" s="620" t="s">
        <v>235</v>
      </c>
      <c r="D21" s="544">
        <v>0</v>
      </c>
      <c r="E21" s="132" t="s">
        <v>1585</v>
      </c>
      <c r="F21" s="28" t="s">
        <v>236</v>
      </c>
      <c r="G21" s="31" t="s">
        <v>237</v>
      </c>
    </row>
    <row r="22" spans="1:7" ht="148.94999999999999" customHeight="1">
      <c r="A22" s="239">
        <f t="shared" si="0"/>
        <v>12</v>
      </c>
      <c r="B22" s="30" t="s">
        <v>1159</v>
      </c>
      <c r="C22" s="620" t="s">
        <v>806</v>
      </c>
      <c r="D22" s="544">
        <v>0</v>
      </c>
      <c r="E22" s="132" t="s">
        <v>1585</v>
      </c>
      <c r="F22" s="28" t="s">
        <v>126</v>
      </c>
      <c r="G22" s="31" t="s">
        <v>381</v>
      </c>
    </row>
    <row r="23" spans="1:7" ht="82.95" customHeight="1">
      <c r="A23" s="239">
        <f t="shared" si="0"/>
        <v>13</v>
      </c>
      <c r="B23" s="30" t="s">
        <v>1159</v>
      </c>
      <c r="C23" s="620" t="s">
        <v>238</v>
      </c>
      <c r="D23" s="544">
        <v>0</v>
      </c>
      <c r="E23" s="132" t="s">
        <v>1585</v>
      </c>
      <c r="F23" s="28" t="s">
        <v>239</v>
      </c>
      <c r="G23" s="31" t="s">
        <v>290</v>
      </c>
    </row>
    <row r="24" spans="1:7" ht="94.2" customHeight="1">
      <c r="A24" s="239">
        <f t="shared" si="0"/>
        <v>14</v>
      </c>
      <c r="B24" s="30" t="s">
        <v>1159</v>
      </c>
      <c r="C24" s="32" t="s">
        <v>804</v>
      </c>
      <c r="D24" s="544">
        <v>0</v>
      </c>
      <c r="E24" s="132" t="s">
        <v>1534</v>
      </c>
      <c r="F24" s="28" t="s">
        <v>52</v>
      </c>
      <c r="G24" s="31" t="s">
        <v>264</v>
      </c>
    </row>
    <row r="25" spans="1:7" ht="107.4" customHeight="1">
      <c r="A25" s="239">
        <f t="shared" si="0"/>
        <v>15</v>
      </c>
      <c r="B25" s="30" t="s">
        <v>1159</v>
      </c>
      <c r="C25" s="32" t="s">
        <v>807</v>
      </c>
      <c r="D25" s="544">
        <v>0</v>
      </c>
      <c r="E25" s="132" t="s">
        <v>1585</v>
      </c>
      <c r="F25" s="28" t="s">
        <v>53</v>
      </c>
      <c r="G25" s="31" t="s">
        <v>1155</v>
      </c>
    </row>
    <row r="26" spans="1:7" ht="96" customHeight="1">
      <c r="A26" s="239">
        <f t="shared" si="0"/>
        <v>16</v>
      </c>
      <c r="B26" s="30" t="s">
        <v>1159</v>
      </c>
      <c r="C26" s="32" t="s">
        <v>291</v>
      </c>
      <c r="D26" s="544">
        <v>0</v>
      </c>
      <c r="E26" s="132" t="s">
        <v>1585</v>
      </c>
      <c r="F26" s="28" t="s">
        <v>54</v>
      </c>
      <c r="G26" s="31" t="s">
        <v>145</v>
      </c>
    </row>
    <row r="27" spans="1:7" ht="82.2" customHeight="1">
      <c r="A27" s="239">
        <f t="shared" si="0"/>
        <v>17</v>
      </c>
      <c r="B27" s="30" t="s">
        <v>1159</v>
      </c>
      <c r="C27" s="32" t="s">
        <v>808</v>
      </c>
      <c r="D27" s="544">
        <v>0</v>
      </c>
      <c r="E27" s="132" t="s">
        <v>1585</v>
      </c>
      <c r="F27" s="28" t="s">
        <v>55</v>
      </c>
      <c r="G27" s="31" t="s">
        <v>850</v>
      </c>
    </row>
    <row r="28" spans="1:7" ht="67.95" customHeight="1">
      <c r="A28" s="239">
        <f t="shared" si="0"/>
        <v>18</v>
      </c>
      <c r="B28" s="30" t="s">
        <v>1159</v>
      </c>
      <c r="C28" s="32" t="s">
        <v>149</v>
      </c>
      <c r="D28" s="544">
        <v>0</v>
      </c>
      <c r="E28" s="132" t="s">
        <v>1585</v>
      </c>
      <c r="F28" s="28" t="s">
        <v>56</v>
      </c>
      <c r="G28" s="31" t="s">
        <v>57</v>
      </c>
    </row>
    <row r="29" spans="1:7" ht="121.95" customHeight="1">
      <c r="A29" s="239">
        <f t="shared" si="0"/>
        <v>19</v>
      </c>
      <c r="B29" s="30" t="s">
        <v>1159</v>
      </c>
      <c r="C29" s="32" t="s">
        <v>986</v>
      </c>
      <c r="D29" s="544">
        <v>0</v>
      </c>
      <c r="E29" s="132" t="s">
        <v>1585</v>
      </c>
      <c r="F29" s="28" t="s">
        <v>987</v>
      </c>
      <c r="G29" s="31" t="s">
        <v>988</v>
      </c>
    </row>
    <row r="30" spans="1:7" ht="27" customHeight="1">
      <c r="A30" s="239">
        <f t="shared" si="0"/>
        <v>20</v>
      </c>
      <c r="B30" s="30" t="s">
        <v>1159</v>
      </c>
      <c r="C30" s="32" t="s">
        <v>989</v>
      </c>
      <c r="D30" s="544">
        <v>0</v>
      </c>
      <c r="E30" s="132" t="s">
        <v>1585</v>
      </c>
      <c r="F30" s="28" t="s">
        <v>990</v>
      </c>
      <c r="G30" s="31" t="s">
        <v>410</v>
      </c>
    </row>
    <row r="31" spans="1:7" ht="27.6" customHeight="1">
      <c r="A31" s="239">
        <f t="shared" si="0"/>
        <v>21</v>
      </c>
      <c r="B31" s="30" t="s">
        <v>1159</v>
      </c>
      <c r="C31" s="32" t="s">
        <v>991</v>
      </c>
      <c r="D31" s="544">
        <v>0</v>
      </c>
      <c r="E31" s="132" t="s">
        <v>1585</v>
      </c>
      <c r="F31" s="28" t="s">
        <v>992</v>
      </c>
      <c r="G31" s="31" t="s">
        <v>993</v>
      </c>
    </row>
    <row r="32" spans="1:7" ht="42" customHeight="1">
      <c r="A32" s="239">
        <f t="shared" si="0"/>
        <v>22</v>
      </c>
      <c r="B32" s="30" t="s">
        <v>1159</v>
      </c>
      <c r="C32" s="32" t="s">
        <v>994</v>
      </c>
      <c r="D32" s="544">
        <v>0</v>
      </c>
      <c r="E32" s="132" t="s">
        <v>1585</v>
      </c>
      <c r="F32" s="28" t="s">
        <v>109</v>
      </c>
      <c r="G32" s="31" t="s">
        <v>151</v>
      </c>
    </row>
    <row r="33" spans="1:7" ht="111" customHeight="1">
      <c r="A33" s="239">
        <f t="shared" si="0"/>
        <v>23</v>
      </c>
      <c r="B33" s="30" t="s">
        <v>1159</v>
      </c>
      <c r="C33" s="620" t="s">
        <v>152</v>
      </c>
      <c r="D33" s="544">
        <v>0</v>
      </c>
      <c r="E33" s="132" t="s">
        <v>1534</v>
      </c>
      <c r="F33" s="28" t="s">
        <v>153</v>
      </c>
      <c r="G33" s="31" t="s">
        <v>154</v>
      </c>
    </row>
    <row r="34" spans="1:7" ht="29.4" customHeight="1">
      <c r="A34" s="239">
        <f t="shared" si="0"/>
        <v>24</v>
      </c>
      <c r="B34" s="30" t="s">
        <v>1159</v>
      </c>
      <c r="C34" s="620" t="s">
        <v>920</v>
      </c>
      <c r="D34" s="544">
        <v>0</v>
      </c>
      <c r="E34" s="132" t="s">
        <v>1585</v>
      </c>
      <c r="F34" s="28" t="s">
        <v>411</v>
      </c>
      <c r="G34" s="31" t="s">
        <v>922</v>
      </c>
    </row>
    <row r="35" spans="1:7" ht="26.4">
      <c r="A35" s="239">
        <f t="shared" si="0"/>
        <v>25</v>
      </c>
      <c r="B35" s="30" t="s">
        <v>1159</v>
      </c>
      <c r="C35" s="620" t="s">
        <v>923</v>
      </c>
      <c r="D35" s="544">
        <v>0</v>
      </c>
      <c r="E35" s="132" t="s">
        <v>1585</v>
      </c>
      <c r="F35" s="28" t="s">
        <v>412</v>
      </c>
      <c r="G35" s="31" t="s">
        <v>1005</v>
      </c>
    </row>
    <row r="36" spans="1:7" ht="26.4">
      <c r="A36" s="239">
        <f t="shared" si="0"/>
        <v>26</v>
      </c>
      <c r="B36" s="30" t="s">
        <v>1159</v>
      </c>
      <c r="C36" s="620" t="s">
        <v>1006</v>
      </c>
      <c r="D36" s="544">
        <v>0</v>
      </c>
      <c r="E36" s="132" t="s">
        <v>1534</v>
      </c>
      <c r="F36" s="28" t="s">
        <v>1007</v>
      </c>
      <c r="G36" s="31" t="s">
        <v>128</v>
      </c>
    </row>
    <row r="37" spans="1:7" ht="42" customHeight="1">
      <c r="A37" s="239">
        <f t="shared" si="0"/>
        <v>27</v>
      </c>
      <c r="B37" s="30" t="s">
        <v>1159</v>
      </c>
      <c r="C37" s="620" t="s">
        <v>1529</v>
      </c>
      <c r="D37" s="544">
        <v>0</v>
      </c>
      <c r="E37" s="132" t="s">
        <v>1534</v>
      </c>
      <c r="F37" s="28" t="s">
        <v>413</v>
      </c>
      <c r="G37" s="31" t="s">
        <v>414</v>
      </c>
    </row>
    <row r="38" spans="1:7" ht="81" customHeight="1">
      <c r="A38" s="239">
        <f t="shared" si="0"/>
        <v>28</v>
      </c>
      <c r="B38" s="30" t="s">
        <v>1159</v>
      </c>
      <c r="C38" s="620" t="s">
        <v>1530</v>
      </c>
      <c r="D38" s="544">
        <v>0</v>
      </c>
      <c r="E38" s="132" t="s">
        <v>1585</v>
      </c>
      <c r="F38" s="31" t="s">
        <v>415</v>
      </c>
      <c r="G38" s="31" t="s">
        <v>1380</v>
      </c>
    </row>
    <row r="39" spans="1:7" ht="29.4" customHeight="1">
      <c r="A39" s="239">
        <f t="shared" si="0"/>
        <v>29</v>
      </c>
      <c r="B39" s="30" t="s">
        <v>1159</v>
      </c>
      <c r="C39" s="620" t="s">
        <v>265</v>
      </c>
      <c r="D39" s="544">
        <v>0</v>
      </c>
      <c r="E39" s="132" t="s">
        <v>1585</v>
      </c>
      <c r="F39" s="28" t="s">
        <v>416</v>
      </c>
      <c r="G39" s="31" t="s">
        <v>267</v>
      </c>
    </row>
    <row r="40" spans="1:7" ht="54" customHeight="1">
      <c r="A40" s="239">
        <f t="shared" si="0"/>
        <v>30</v>
      </c>
      <c r="B40" s="30" t="s">
        <v>1159</v>
      </c>
      <c r="C40" s="620" t="s">
        <v>268</v>
      </c>
      <c r="D40" s="544">
        <v>0</v>
      </c>
      <c r="E40" s="132" t="s">
        <v>1585</v>
      </c>
      <c r="F40" s="28" t="s">
        <v>269</v>
      </c>
      <c r="G40" s="31" t="s">
        <v>270</v>
      </c>
    </row>
    <row r="41" spans="1:7" ht="54" customHeight="1">
      <c r="A41" s="239">
        <f t="shared" si="0"/>
        <v>31</v>
      </c>
      <c r="B41" s="30" t="s">
        <v>1159</v>
      </c>
      <c r="C41" s="620" t="s">
        <v>1531</v>
      </c>
      <c r="D41" s="544">
        <v>0</v>
      </c>
      <c r="E41" s="132" t="s">
        <v>1534</v>
      </c>
      <c r="F41" s="28" t="s">
        <v>413</v>
      </c>
      <c r="G41" s="31" t="s">
        <v>366</v>
      </c>
    </row>
    <row r="42" spans="1:7" ht="15.6" customHeight="1">
      <c r="A42" s="239">
        <f t="shared" si="0"/>
        <v>32</v>
      </c>
      <c r="B42" s="30" t="s">
        <v>1159</v>
      </c>
      <c r="C42" s="32" t="s">
        <v>367</v>
      </c>
      <c r="D42" s="544">
        <v>0</v>
      </c>
      <c r="E42" s="132" t="s">
        <v>1585</v>
      </c>
      <c r="F42" s="28" t="s">
        <v>368</v>
      </c>
      <c r="G42" s="31" t="s">
        <v>369</v>
      </c>
    </row>
    <row r="43" spans="1:7" ht="13.95" customHeight="1">
      <c r="A43" s="239">
        <f t="shared" si="0"/>
        <v>33</v>
      </c>
      <c r="B43" s="30" t="s">
        <v>1159</v>
      </c>
      <c r="C43" s="32" t="s">
        <v>370</v>
      </c>
      <c r="D43" s="544">
        <v>0</v>
      </c>
      <c r="E43" s="132" t="s">
        <v>1585</v>
      </c>
      <c r="F43" s="28" t="s">
        <v>417</v>
      </c>
      <c r="G43" s="31" t="s">
        <v>372</v>
      </c>
    </row>
    <row r="44" spans="1:7" ht="28.2" customHeight="1">
      <c r="A44" s="239">
        <f t="shared" si="0"/>
        <v>34</v>
      </c>
      <c r="B44" s="30" t="s">
        <v>1159</v>
      </c>
      <c r="C44" s="32" t="s">
        <v>373</v>
      </c>
      <c r="D44" s="544">
        <v>0</v>
      </c>
      <c r="E44" s="132" t="s">
        <v>1585</v>
      </c>
      <c r="F44" s="28" t="s">
        <v>418</v>
      </c>
      <c r="G44" s="31" t="s">
        <v>375</v>
      </c>
    </row>
    <row r="45" spans="1:7" ht="54.6" customHeight="1">
      <c r="A45" s="239">
        <f t="shared" si="0"/>
        <v>35</v>
      </c>
      <c r="B45" s="30" t="s">
        <v>1159</v>
      </c>
      <c r="C45" s="32" t="s">
        <v>376</v>
      </c>
      <c r="D45" s="544">
        <v>0</v>
      </c>
      <c r="E45" s="132" t="s">
        <v>1585</v>
      </c>
      <c r="F45" s="28" t="s">
        <v>419</v>
      </c>
      <c r="G45" s="31" t="s">
        <v>26</v>
      </c>
    </row>
    <row r="46" spans="1:7" ht="81" customHeight="1">
      <c r="A46" s="239">
        <f t="shared" si="0"/>
        <v>36</v>
      </c>
      <c r="B46" s="30" t="s">
        <v>1159</v>
      </c>
      <c r="C46" s="32" t="s">
        <v>27</v>
      </c>
      <c r="D46" s="544">
        <v>0</v>
      </c>
      <c r="E46" s="132" t="s">
        <v>1585</v>
      </c>
      <c r="F46" s="28" t="s">
        <v>28</v>
      </c>
      <c r="G46" s="31" t="s">
        <v>924</v>
      </c>
    </row>
    <row r="47" spans="1:7" ht="121.2" customHeight="1">
      <c r="A47" s="239">
        <f t="shared" si="0"/>
        <v>37</v>
      </c>
      <c r="B47" s="30" t="s">
        <v>1159</v>
      </c>
      <c r="C47" s="620" t="s">
        <v>925</v>
      </c>
      <c r="D47" s="544">
        <v>0</v>
      </c>
      <c r="E47" s="132" t="s">
        <v>1534</v>
      </c>
      <c r="F47" s="28" t="s">
        <v>420</v>
      </c>
      <c r="G47" s="31" t="s">
        <v>1381</v>
      </c>
    </row>
    <row r="48" spans="1:7" ht="81" customHeight="1">
      <c r="A48" s="239">
        <f t="shared" si="0"/>
        <v>38</v>
      </c>
      <c r="B48" s="30" t="s">
        <v>1159</v>
      </c>
      <c r="C48" s="620" t="s">
        <v>383</v>
      </c>
      <c r="D48" s="544">
        <v>0</v>
      </c>
      <c r="E48" s="132" t="s">
        <v>1585</v>
      </c>
      <c r="F48" s="28" t="s">
        <v>384</v>
      </c>
      <c r="G48" s="31" t="s">
        <v>1211</v>
      </c>
    </row>
    <row r="49" spans="1:7" ht="28.95" customHeight="1">
      <c r="A49" s="239">
        <f t="shared" si="0"/>
        <v>39</v>
      </c>
      <c r="B49" s="30" t="s">
        <v>1159</v>
      </c>
      <c r="C49" s="620" t="s">
        <v>1212</v>
      </c>
      <c r="D49" s="544">
        <v>0</v>
      </c>
      <c r="E49" s="132" t="s">
        <v>1585</v>
      </c>
      <c r="F49" s="28" t="s">
        <v>1213</v>
      </c>
      <c r="G49" s="31" t="s">
        <v>1214</v>
      </c>
    </row>
    <row r="50" spans="1:7" ht="44.4" customHeight="1">
      <c r="A50" s="239">
        <f t="shared" si="0"/>
        <v>40</v>
      </c>
      <c r="B50" s="30" t="s">
        <v>1159</v>
      </c>
      <c r="C50" s="620" t="s">
        <v>1215</v>
      </c>
      <c r="D50" s="544">
        <v>0</v>
      </c>
      <c r="E50" s="132" t="s">
        <v>1585</v>
      </c>
      <c r="F50" s="28" t="s">
        <v>1216</v>
      </c>
      <c r="G50" s="31" t="s">
        <v>1217</v>
      </c>
    </row>
    <row r="51" spans="1:7" ht="68.400000000000006" customHeight="1">
      <c r="A51" s="317">
        <f t="shared" si="0"/>
        <v>41</v>
      </c>
      <c r="B51" s="36" t="s">
        <v>1159</v>
      </c>
      <c r="C51" s="1181" t="s">
        <v>1218</v>
      </c>
      <c r="D51" s="544">
        <v>0</v>
      </c>
      <c r="E51" s="132" t="s">
        <v>1534</v>
      </c>
      <c r="F51" s="28" t="s">
        <v>1219</v>
      </c>
      <c r="G51" s="31" t="s">
        <v>1220</v>
      </c>
    </row>
    <row r="52" spans="1:7" ht="54.6" customHeight="1">
      <c r="A52" s="239">
        <f t="shared" si="0"/>
        <v>42</v>
      </c>
      <c r="B52" s="30" t="s">
        <v>1159</v>
      </c>
      <c r="C52" s="620" t="s">
        <v>1221</v>
      </c>
      <c r="D52" s="544">
        <v>0</v>
      </c>
      <c r="E52" s="132" t="s">
        <v>1534</v>
      </c>
      <c r="F52" s="28" t="s">
        <v>1222</v>
      </c>
      <c r="G52" s="31" t="s">
        <v>60</v>
      </c>
    </row>
    <row r="53" spans="1:7" ht="42.6" customHeight="1">
      <c r="A53" s="239">
        <f t="shared" si="0"/>
        <v>43</v>
      </c>
      <c r="B53" s="30" t="s">
        <v>1159</v>
      </c>
      <c r="C53" s="620" t="s">
        <v>1532</v>
      </c>
      <c r="D53" s="544">
        <v>0</v>
      </c>
      <c r="E53" s="132" t="s">
        <v>1534</v>
      </c>
      <c r="F53" s="28" t="s">
        <v>1222</v>
      </c>
      <c r="G53" s="31" t="s">
        <v>61</v>
      </c>
    </row>
    <row r="54" spans="1:7" ht="121.2" customHeight="1">
      <c r="A54" s="239">
        <f t="shared" si="0"/>
        <v>44</v>
      </c>
      <c r="B54" s="30" t="s">
        <v>1159</v>
      </c>
      <c r="C54" s="620" t="s">
        <v>62</v>
      </c>
      <c r="D54" s="544">
        <v>0</v>
      </c>
      <c r="E54" s="132" t="s">
        <v>1534</v>
      </c>
      <c r="F54" s="28" t="s">
        <v>1219</v>
      </c>
      <c r="G54" s="31" t="s">
        <v>63</v>
      </c>
    </row>
    <row r="55" spans="1:7" ht="27.6" customHeight="1">
      <c r="A55" s="239">
        <f t="shared" si="0"/>
        <v>45</v>
      </c>
      <c r="B55" s="30" t="s">
        <v>1159</v>
      </c>
      <c r="C55" s="620" t="s">
        <v>64</v>
      </c>
      <c r="D55" s="544">
        <v>0</v>
      </c>
      <c r="E55" s="132" t="s">
        <v>1585</v>
      </c>
      <c r="F55" s="28" t="s">
        <v>421</v>
      </c>
      <c r="G55" s="31" t="s">
        <v>66</v>
      </c>
    </row>
    <row r="56" spans="1:7" ht="42" customHeight="1">
      <c r="A56" s="239">
        <f t="shared" si="0"/>
        <v>46</v>
      </c>
      <c r="B56" s="30" t="s">
        <v>1159</v>
      </c>
      <c r="C56" s="620" t="s">
        <v>422</v>
      </c>
      <c r="D56" s="544">
        <v>0</v>
      </c>
      <c r="E56" s="132" t="s">
        <v>1534</v>
      </c>
      <c r="F56" s="28" t="s">
        <v>423</v>
      </c>
      <c r="G56" s="31" t="s">
        <v>405</v>
      </c>
    </row>
    <row r="57" spans="1:7" ht="52.8">
      <c r="A57" s="239">
        <f t="shared" si="0"/>
        <v>47</v>
      </c>
      <c r="B57" s="30" t="s">
        <v>1159</v>
      </c>
      <c r="C57" s="620" t="s">
        <v>424</v>
      </c>
      <c r="D57" s="544">
        <v>0</v>
      </c>
      <c r="E57" s="132" t="s">
        <v>1585</v>
      </c>
      <c r="F57" s="28" t="s">
        <v>425</v>
      </c>
      <c r="G57" s="31" t="s">
        <v>389</v>
      </c>
    </row>
    <row r="58" spans="1:7" ht="52.8">
      <c r="A58" s="239">
        <f t="shared" si="0"/>
        <v>48</v>
      </c>
      <c r="B58" s="30" t="s">
        <v>1159</v>
      </c>
      <c r="C58" s="620" t="s">
        <v>390</v>
      </c>
      <c r="D58" s="544">
        <v>0</v>
      </c>
      <c r="E58" s="132" t="s">
        <v>1585</v>
      </c>
      <c r="F58" s="28" t="s">
        <v>425</v>
      </c>
      <c r="G58" s="31" t="s">
        <v>391</v>
      </c>
    </row>
    <row r="59" spans="1:7" ht="26.4">
      <c r="A59" s="239">
        <f t="shared" si="0"/>
        <v>49</v>
      </c>
      <c r="B59" s="30" t="s">
        <v>1159</v>
      </c>
      <c r="C59" s="620" t="s">
        <v>392</v>
      </c>
      <c r="D59" s="544">
        <v>0</v>
      </c>
      <c r="E59" s="132" t="s">
        <v>1585</v>
      </c>
      <c r="F59" s="28" t="s">
        <v>393</v>
      </c>
      <c r="G59" s="31" t="s">
        <v>394</v>
      </c>
    </row>
    <row r="60" spans="1:7" ht="66">
      <c r="A60" s="239">
        <f t="shared" si="0"/>
        <v>50</v>
      </c>
      <c r="B60" s="30" t="s">
        <v>1159</v>
      </c>
      <c r="C60" s="32" t="s">
        <v>1276</v>
      </c>
      <c r="D60" s="544">
        <v>0</v>
      </c>
      <c r="E60" s="132" t="s">
        <v>1585</v>
      </c>
      <c r="F60" s="28" t="s">
        <v>395</v>
      </c>
      <c r="G60" s="31" t="s">
        <v>1409</v>
      </c>
    </row>
    <row r="61" spans="1:7" ht="105.6">
      <c r="A61" s="317">
        <f t="shared" si="0"/>
        <v>51</v>
      </c>
      <c r="B61" s="36" t="s">
        <v>1159</v>
      </c>
      <c r="C61" s="1182" t="s">
        <v>396</v>
      </c>
      <c r="D61" s="544">
        <v>0</v>
      </c>
      <c r="E61" s="132" t="s">
        <v>1585</v>
      </c>
      <c r="F61" s="28" t="s">
        <v>397</v>
      </c>
      <c r="G61" s="31" t="s">
        <v>1382</v>
      </c>
    </row>
    <row r="62" spans="1:7" ht="66">
      <c r="A62" s="239">
        <f t="shared" si="0"/>
        <v>52</v>
      </c>
      <c r="B62" s="30" t="s">
        <v>1159</v>
      </c>
      <c r="C62" s="32" t="s">
        <v>294</v>
      </c>
      <c r="D62" s="544">
        <v>0</v>
      </c>
      <c r="E62" s="132" t="s">
        <v>1585</v>
      </c>
      <c r="F62" s="28" t="s">
        <v>295</v>
      </c>
      <c r="G62" s="31" t="s">
        <v>1280</v>
      </c>
    </row>
    <row r="63" spans="1:7" ht="95.4" customHeight="1">
      <c r="A63" s="239">
        <f t="shared" si="0"/>
        <v>53</v>
      </c>
      <c r="B63" s="30" t="s">
        <v>1159</v>
      </c>
      <c r="C63" s="32" t="s">
        <v>1281</v>
      </c>
      <c r="D63" s="544">
        <v>0</v>
      </c>
      <c r="E63" s="132" t="s">
        <v>1585</v>
      </c>
      <c r="F63" s="28" t="s">
        <v>1282</v>
      </c>
      <c r="G63" s="31" t="s">
        <v>1012</v>
      </c>
    </row>
    <row r="64" spans="1:7" ht="94.2" customHeight="1">
      <c r="A64" s="239">
        <f t="shared" si="0"/>
        <v>54</v>
      </c>
      <c r="B64" s="30" t="s">
        <v>1159</v>
      </c>
      <c r="C64" s="32" t="s">
        <v>1013</v>
      </c>
      <c r="D64" s="544">
        <v>0</v>
      </c>
      <c r="E64" s="132" t="s">
        <v>1585</v>
      </c>
      <c r="F64" s="28" t="s">
        <v>1043</v>
      </c>
      <c r="G64" s="31" t="s">
        <v>1044</v>
      </c>
    </row>
    <row r="65" spans="1:7" ht="39.6">
      <c r="A65" s="239">
        <f t="shared" si="0"/>
        <v>55</v>
      </c>
      <c r="B65" s="30" t="s">
        <v>1159</v>
      </c>
      <c r="C65" s="32" t="s">
        <v>1045</v>
      </c>
      <c r="D65" s="544">
        <v>0</v>
      </c>
      <c r="E65" s="132" t="s">
        <v>1585</v>
      </c>
      <c r="F65" s="28" t="s">
        <v>1046</v>
      </c>
      <c r="G65" s="31" t="s">
        <v>1047</v>
      </c>
    </row>
    <row r="66" spans="1:7" ht="52.8">
      <c r="A66" s="239">
        <f t="shared" si="0"/>
        <v>56</v>
      </c>
      <c r="B66" s="30" t="s">
        <v>1159</v>
      </c>
      <c r="C66" s="32" t="s">
        <v>1048</v>
      </c>
      <c r="D66" s="544">
        <v>0</v>
      </c>
      <c r="E66" s="132" t="s">
        <v>1585</v>
      </c>
      <c r="F66" s="28" t="s">
        <v>1049</v>
      </c>
      <c r="G66" s="31" t="s">
        <v>596</v>
      </c>
    </row>
    <row r="67" spans="1:7" ht="39.6">
      <c r="A67" s="239">
        <f t="shared" si="0"/>
        <v>57</v>
      </c>
      <c r="B67" s="30" t="s">
        <v>1159</v>
      </c>
      <c r="C67" s="32" t="s">
        <v>597</v>
      </c>
      <c r="D67" s="544">
        <v>0</v>
      </c>
      <c r="E67" s="132" t="s">
        <v>1585</v>
      </c>
      <c r="F67" s="28" t="s">
        <v>598</v>
      </c>
      <c r="G67" s="31" t="s">
        <v>599</v>
      </c>
    </row>
    <row r="68" spans="1:7" ht="52.8">
      <c r="A68" s="239">
        <f t="shared" si="0"/>
        <v>58</v>
      </c>
      <c r="B68" s="30" t="s">
        <v>1159</v>
      </c>
      <c r="C68" s="32" t="s">
        <v>600</v>
      </c>
      <c r="D68" s="544">
        <v>0</v>
      </c>
      <c r="E68" s="132" t="s">
        <v>1585</v>
      </c>
      <c r="F68" s="28" t="s">
        <v>157</v>
      </c>
      <c r="G68" s="31" t="s">
        <v>158</v>
      </c>
    </row>
    <row r="69" spans="1:7" ht="92.4">
      <c r="A69" s="239">
        <f t="shared" si="0"/>
        <v>59</v>
      </c>
      <c r="B69" s="30" t="s">
        <v>1159</v>
      </c>
      <c r="C69" s="32" t="s">
        <v>159</v>
      </c>
      <c r="D69" s="544">
        <v>0</v>
      </c>
      <c r="E69" s="132" t="s">
        <v>1585</v>
      </c>
      <c r="F69" s="31" t="s">
        <v>160</v>
      </c>
      <c r="G69" s="31" t="s">
        <v>1383</v>
      </c>
    </row>
    <row r="70" spans="1:7" ht="39.6">
      <c r="A70" s="317">
        <f t="shared" si="0"/>
        <v>60</v>
      </c>
      <c r="B70" s="36" t="s">
        <v>1159</v>
      </c>
      <c r="C70" s="1182" t="s">
        <v>1591</v>
      </c>
      <c r="D70" s="544">
        <v>0</v>
      </c>
      <c r="E70" s="132" t="s">
        <v>1534</v>
      </c>
      <c r="F70" s="28" t="s">
        <v>142</v>
      </c>
      <c r="G70" s="31" t="s">
        <v>1592</v>
      </c>
    </row>
    <row r="71" spans="1:7" ht="52.8">
      <c r="A71" s="239">
        <f t="shared" si="0"/>
        <v>61</v>
      </c>
      <c r="B71" s="30" t="s">
        <v>1159</v>
      </c>
      <c r="C71" s="32" t="s">
        <v>1593</v>
      </c>
      <c r="D71" s="544">
        <v>0</v>
      </c>
      <c r="E71" s="132" t="s">
        <v>1585</v>
      </c>
      <c r="F71" s="28" t="s">
        <v>1594</v>
      </c>
      <c r="G71" s="31" t="s">
        <v>193</v>
      </c>
    </row>
    <row r="72" spans="1:7" ht="26.4">
      <c r="A72" s="239">
        <f t="shared" si="0"/>
        <v>62</v>
      </c>
      <c r="B72" s="30" t="s">
        <v>1159</v>
      </c>
      <c r="C72" s="32" t="s">
        <v>1081</v>
      </c>
      <c r="D72" s="544">
        <v>0</v>
      </c>
      <c r="E72" s="132" t="s">
        <v>1585</v>
      </c>
      <c r="F72" s="28" t="s">
        <v>1120</v>
      </c>
      <c r="G72" s="31" t="s">
        <v>1121</v>
      </c>
    </row>
    <row r="73" spans="1:7">
      <c r="A73" s="239">
        <f t="shared" si="0"/>
        <v>63</v>
      </c>
      <c r="B73" s="30" t="s">
        <v>1159</v>
      </c>
      <c r="C73" s="32" t="s">
        <v>1122</v>
      </c>
      <c r="D73" s="544">
        <v>0</v>
      </c>
      <c r="E73" s="132" t="s">
        <v>1585</v>
      </c>
      <c r="F73" s="28" t="s">
        <v>1123</v>
      </c>
      <c r="G73" s="31" t="s">
        <v>1124</v>
      </c>
    </row>
    <row r="74" spans="1:7" ht="39.6">
      <c r="A74" s="239">
        <f t="shared" si="0"/>
        <v>64</v>
      </c>
      <c r="B74" s="30" t="s">
        <v>1159</v>
      </c>
      <c r="C74" s="32" t="s">
        <v>1125</v>
      </c>
      <c r="D74" s="544">
        <v>0</v>
      </c>
      <c r="E74" s="132" t="s">
        <v>1534</v>
      </c>
      <c r="F74" s="28" t="s">
        <v>1126</v>
      </c>
      <c r="G74" s="31" t="s">
        <v>1127</v>
      </c>
    </row>
    <row r="75" spans="1:7" ht="39.6">
      <c r="A75" s="239">
        <f t="shared" si="0"/>
        <v>65</v>
      </c>
      <c r="B75" s="30" t="s">
        <v>1159</v>
      </c>
      <c r="C75" s="32" t="s">
        <v>1128</v>
      </c>
      <c r="D75" s="544">
        <v>0</v>
      </c>
      <c r="E75" s="132" t="s">
        <v>1534</v>
      </c>
      <c r="F75" s="28" t="s">
        <v>1129</v>
      </c>
      <c r="G75" s="31" t="s">
        <v>1130</v>
      </c>
    </row>
    <row r="76" spans="1:7" ht="69" customHeight="1">
      <c r="A76" s="239">
        <f t="shared" si="0"/>
        <v>66</v>
      </c>
      <c r="B76" s="30" t="s">
        <v>1159</v>
      </c>
      <c r="C76" s="32" t="s">
        <v>1131</v>
      </c>
      <c r="D76" s="544">
        <v>0</v>
      </c>
      <c r="E76" s="132" t="s">
        <v>1585</v>
      </c>
      <c r="F76" s="28" t="s">
        <v>1132</v>
      </c>
      <c r="G76" s="31" t="s">
        <v>1133</v>
      </c>
    </row>
    <row r="77" spans="1:7" ht="26.4">
      <c r="A77" s="239">
        <f t="shared" si="0"/>
        <v>67</v>
      </c>
      <c r="B77" s="30" t="s">
        <v>1159</v>
      </c>
      <c r="C77" s="32" t="s">
        <v>1134</v>
      </c>
      <c r="D77" s="544">
        <v>0</v>
      </c>
      <c r="E77" s="132" t="s">
        <v>1585</v>
      </c>
      <c r="F77" s="28" t="s">
        <v>1135</v>
      </c>
      <c r="G77" s="31" t="s">
        <v>1168</v>
      </c>
    </row>
    <row r="78" spans="1:7" ht="39.6">
      <c r="A78" s="239">
        <f t="shared" ref="A78:A141" si="1">A77+1</f>
        <v>68</v>
      </c>
      <c r="B78" s="30" t="s">
        <v>1159</v>
      </c>
      <c r="C78" s="32" t="s">
        <v>1169</v>
      </c>
      <c r="D78" s="544">
        <v>0</v>
      </c>
      <c r="E78" s="132" t="s">
        <v>1585</v>
      </c>
      <c r="F78" s="28" t="s">
        <v>1123</v>
      </c>
      <c r="G78" s="31" t="s">
        <v>1170</v>
      </c>
    </row>
    <row r="79" spans="1:7" ht="92.4">
      <c r="A79" s="239">
        <f t="shared" si="1"/>
        <v>69</v>
      </c>
      <c r="B79" s="30" t="s">
        <v>1159</v>
      </c>
      <c r="C79" s="32" t="s">
        <v>1171</v>
      </c>
      <c r="D79" s="544">
        <v>0</v>
      </c>
      <c r="E79" s="132" t="s">
        <v>1585</v>
      </c>
      <c r="F79" s="28" t="s">
        <v>1172</v>
      </c>
      <c r="G79" s="31" t="s">
        <v>1255</v>
      </c>
    </row>
    <row r="80" spans="1:7" ht="26.4">
      <c r="A80" s="239">
        <f t="shared" si="1"/>
        <v>70</v>
      </c>
      <c r="B80" s="30" t="s">
        <v>1159</v>
      </c>
      <c r="C80" s="32" t="s">
        <v>1256</v>
      </c>
      <c r="D80" s="544">
        <v>0</v>
      </c>
      <c r="E80" s="132" t="s">
        <v>1534</v>
      </c>
      <c r="F80" s="28" t="s">
        <v>1257</v>
      </c>
      <c r="G80" s="31" t="s">
        <v>1156</v>
      </c>
    </row>
    <row r="81" spans="1:7" ht="39.6">
      <c r="A81" s="239">
        <f t="shared" si="1"/>
        <v>71</v>
      </c>
      <c r="B81" s="30" t="s">
        <v>1159</v>
      </c>
      <c r="C81" s="32" t="s">
        <v>1157</v>
      </c>
      <c r="D81" s="544">
        <v>0</v>
      </c>
      <c r="E81" s="132" t="s">
        <v>1534</v>
      </c>
      <c r="F81" s="28" t="s">
        <v>1158</v>
      </c>
      <c r="G81" s="31" t="s">
        <v>1283</v>
      </c>
    </row>
    <row r="82" spans="1:7" ht="39.6">
      <c r="A82" s="239">
        <f t="shared" si="1"/>
        <v>72</v>
      </c>
      <c r="B82" s="30" t="s">
        <v>1159</v>
      </c>
      <c r="C82" s="32" t="s">
        <v>1284</v>
      </c>
      <c r="D82" s="544">
        <v>0</v>
      </c>
      <c r="E82" s="132" t="s">
        <v>1534</v>
      </c>
      <c r="F82" s="28" t="s">
        <v>1285</v>
      </c>
      <c r="G82" s="31" t="s">
        <v>1286</v>
      </c>
    </row>
    <row r="83" spans="1:7" ht="31.95" customHeight="1">
      <c r="A83" s="239">
        <f t="shared" si="1"/>
        <v>73</v>
      </c>
      <c r="B83" s="30" t="s">
        <v>1159</v>
      </c>
      <c r="C83" s="32" t="s">
        <v>1287</v>
      </c>
      <c r="D83" s="544">
        <v>0</v>
      </c>
      <c r="E83" s="132" t="s">
        <v>1585</v>
      </c>
      <c r="F83" s="28" t="s">
        <v>1288</v>
      </c>
      <c r="G83" s="31" t="s">
        <v>1289</v>
      </c>
    </row>
    <row r="84" spans="1:7">
      <c r="A84" s="239">
        <f t="shared" si="1"/>
        <v>74</v>
      </c>
      <c r="B84" s="30" t="s">
        <v>1159</v>
      </c>
      <c r="C84" s="32" t="s">
        <v>1290</v>
      </c>
      <c r="D84" s="544">
        <v>0</v>
      </c>
      <c r="E84" s="132" t="s">
        <v>1585</v>
      </c>
      <c r="F84" s="28" t="s">
        <v>1291</v>
      </c>
      <c r="G84" s="31" t="s">
        <v>1292</v>
      </c>
    </row>
    <row r="85" spans="1:7" ht="26.4">
      <c r="A85" s="239">
        <f t="shared" si="1"/>
        <v>75</v>
      </c>
      <c r="B85" s="30" t="s">
        <v>1159</v>
      </c>
      <c r="C85" s="32" t="s">
        <v>1293</v>
      </c>
      <c r="D85" s="544">
        <v>0</v>
      </c>
      <c r="E85" s="132" t="s">
        <v>1585</v>
      </c>
      <c r="F85" s="28" t="s">
        <v>30</v>
      </c>
      <c r="G85" s="31" t="s">
        <v>31</v>
      </c>
    </row>
    <row r="86" spans="1:7" ht="26.4">
      <c r="A86" s="317">
        <f t="shared" si="1"/>
        <v>76</v>
      </c>
      <c r="B86" s="36" t="s">
        <v>1159</v>
      </c>
      <c r="C86" s="1182" t="s">
        <v>32</v>
      </c>
      <c r="D86" s="544">
        <v>0</v>
      </c>
      <c r="E86" s="132" t="s">
        <v>1585</v>
      </c>
      <c r="F86" s="28" t="s">
        <v>33</v>
      </c>
      <c r="G86" s="31" t="s">
        <v>34</v>
      </c>
    </row>
    <row r="87" spans="1:7">
      <c r="A87" s="239">
        <f t="shared" si="1"/>
        <v>77</v>
      </c>
      <c r="B87" s="30" t="s">
        <v>1159</v>
      </c>
      <c r="C87" s="32" t="s">
        <v>35</v>
      </c>
      <c r="D87" s="544">
        <v>0</v>
      </c>
      <c r="E87" s="132" t="s">
        <v>1585</v>
      </c>
      <c r="F87" s="28" t="s">
        <v>36</v>
      </c>
      <c r="G87" s="31" t="s">
        <v>37</v>
      </c>
    </row>
    <row r="88" spans="1:7" ht="26.4">
      <c r="A88" s="239">
        <f t="shared" si="1"/>
        <v>78</v>
      </c>
      <c r="B88" s="30" t="s">
        <v>1159</v>
      </c>
      <c r="C88" s="32" t="s">
        <v>38</v>
      </c>
      <c r="D88" s="544">
        <v>0</v>
      </c>
      <c r="E88" s="132" t="s">
        <v>1585</v>
      </c>
      <c r="F88" s="28" t="s">
        <v>39</v>
      </c>
      <c r="G88" s="31" t="s">
        <v>897</v>
      </c>
    </row>
    <row r="89" spans="1:7">
      <c r="A89" s="239">
        <f t="shared" si="1"/>
        <v>79</v>
      </c>
      <c r="B89" s="30" t="s">
        <v>1159</v>
      </c>
      <c r="C89" s="32" t="s">
        <v>898</v>
      </c>
      <c r="D89" s="544">
        <v>0</v>
      </c>
      <c r="E89" s="132" t="s">
        <v>1585</v>
      </c>
      <c r="F89" s="28" t="s">
        <v>899</v>
      </c>
      <c r="G89" s="31" t="s">
        <v>900</v>
      </c>
    </row>
    <row r="90" spans="1:7" ht="26.4">
      <c r="A90" s="239">
        <f t="shared" si="1"/>
        <v>80</v>
      </c>
      <c r="B90" s="30" t="s">
        <v>1159</v>
      </c>
      <c r="C90" s="32" t="s">
        <v>901</v>
      </c>
      <c r="D90" s="544">
        <v>0</v>
      </c>
      <c r="E90" s="132" t="s">
        <v>1534</v>
      </c>
      <c r="F90" s="28" t="s">
        <v>902</v>
      </c>
      <c r="G90" s="31" t="s">
        <v>903</v>
      </c>
    </row>
    <row r="91" spans="1:7">
      <c r="A91" s="239">
        <f t="shared" si="1"/>
        <v>81</v>
      </c>
      <c r="B91" s="30" t="s">
        <v>1159</v>
      </c>
      <c r="C91" s="32" t="s">
        <v>904</v>
      </c>
      <c r="D91" s="544">
        <v>0</v>
      </c>
      <c r="E91" s="132" t="s">
        <v>1585</v>
      </c>
      <c r="F91" s="28" t="s">
        <v>905</v>
      </c>
      <c r="G91" s="31" t="s">
        <v>129</v>
      </c>
    </row>
    <row r="92" spans="1:7">
      <c r="A92" s="239">
        <f t="shared" si="1"/>
        <v>82</v>
      </c>
      <c r="B92" s="30" t="s">
        <v>1159</v>
      </c>
      <c r="C92" s="32" t="s">
        <v>906</v>
      </c>
      <c r="D92" s="544">
        <v>0</v>
      </c>
      <c r="E92" s="132" t="s">
        <v>1585</v>
      </c>
      <c r="F92" s="28" t="s">
        <v>907</v>
      </c>
      <c r="G92" s="31" t="s">
        <v>908</v>
      </c>
    </row>
    <row r="93" spans="1:7">
      <c r="A93" s="239">
        <f t="shared" si="1"/>
        <v>83</v>
      </c>
      <c r="B93" s="30" t="s">
        <v>1159</v>
      </c>
      <c r="C93" s="32" t="s">
        <v>909</v>
      </c>
      <c r="D93" s="544">
        <v>0</v>
      </c>
      <c r="E93" s="132" t="s">
        <v>1585</v>
      </c>
      <c r="F93" s="28" t="s">
        <v>910</v>
      </c>
      <c r="G93" s="31" t="s">
        <v>911</v>
      </c>
    </row>
    <row r="94" spans="1:7">
      <c r="A94" s="239">
        <f t="shared" si="1"/>
        <v>84</v>
      </c>
      <c r="B94" s="30" t="s">
        <v>1159</v>
      </c>
      <c r="C94" s="32" t="s">
        <v>912</v>
      </c>
      <c r="D94" s="544">
        <v>0</v>
      </c>
      <c r="E94" s="132" t="s">
        <v>1585</v>
      </c>
      <c r="F94" s="28" t="s">
        <v>913</v>
      </c>
      <c r="G94" s="31" t="s">
        <v>914</v>
      </c>
    </row>
    <row r="95" spans="1:7">
      <c r="A95" s="239">
        <f t="shared" si="1"/>
        <v>85</v>
      </c>
      <c r="B95" s="30" t="s">
        <v>1159</v>
      </c>
      <c r="C95" s="32" t="s">
        <v>915</v>
      </c>
      <c r="D95" s="544">
        <v>0</v>
      </c>
      <c r="E95" s="132" t="s">
        <v>1534</v>
      </c>
      <c r="F95" s="28" t="s">
        <v>916</v>
      </c>
      <c r="G95" s="31" t="s">
        <v>917</v>
      </c>
    </row>
    <row r="96" spans="1:7">
      <c r="A96" s="239">
        <f t="shared" si="1"/>
        <v>86</v>
      </c>
      <c r="B96" s="30" t="s">
        <v>1159</v>
      </c>
      <c r="C96" s="32" t="s">
        <v>918</v>
      </c>
      <c r="D96" s="544">
        <v>0</v>
      </c>
      <c r="E96" s="132" t="s">
        <v>1585</v>
      </c>
      <c r="F96" s="28" t="s">
        <v>919</v>
      </c>
      <c r="G96" s="31" t="s">
        <v>618</v>
      </c>
    </row>
    <row r="97" spans="1:7" ht="26.4">
      <c r="A97" s="239">
        <f t="shared" si="1"/>
        <v>87</v>
      </c>
      <c r="B97" s="30" t="s">
        <v>1159</v>
      </c>
      <c r="C97" s="32" t="s">
        <v>619</v>
      </c>
      <c r="D97" s="544">
        <v>0</v>
      </c>
      <c r="E97" s="132" t="s">
        <v>1585</v>
      </c>
      <c r="F97" s="28" t="s">
        <v>620</v>
      </c>
      <c r="G97" s="31" t="s">
        <v>929</v>
      </c>
    </row>
    <row r="98" spans="1:7" ht="26.4">
      <c r="A98" s="239">
        <f t="shared" si="1"/>
        <v>88</v>
      </c>
      <c r="B98" s="30" t="s">
        <v>1159</v>
      </c>
      <c r="C98" s="32" t="s">
        <v>930</v>
      </c>
      <c r="D98" s="544">
        <v>0</v>
      </c>
      <c r="E98" s="132" t="s">
        <v>1534</v>
      </c>
      <c r="F98" s="28" t="s">
        <v>931</v>
      </c>
      <c r="G98" s="31" t="s">
        <v>932</v>
      </c>
    </row>
    <row r="99" spans="1:7">
      <c r="A99" s="239">
        <f t="shared" si="1"/>
        <v>89</v>
      </c>
      <c r="B99" s="30" t="s">
        <v>1159</v>
      </c>
      <c r="C99" s="32" t="s">
        <v>933</v>
      </c>
      <c r="D99" s="544">
        <v>0</v>
      </c>
      <c r="E99" s="132" t="s">
        <v>1534</v>
      </c>
      <c r="F99" s="28" t="s">
        <v>934</v>
      </c>
      <c r="G99" s="31" t="s">
        <v>935</v>
      </c>
    </row>
    <row r="100" spans="1:7" ht="26.4">
      <c r="A100" s="239">
        <f t="shared" si="1"/>
        <v>90</v>
      </c>
      <c r="B100" s="30" t="s">
        <v>1159</v>
      </c>
      <c r="C100" s="32" t="s">
        <v>936</v>
      </c>
      <c r="D100" s="544">
        <v>0</v>
      </c>
      <c r="E100" s="132" t="s">
        <v>1534</v>
      </c>
      <c r="F100" s="28" t="s">
        <v>276</v>
      </c>
      <c r="G100" s="31" t="s">
        <v>277</v>
      </c>
    </row>
    <row r="101" spans="1:7" ht="26.4">
      <c r="A101" s="239">
        <f t="shared" si="1"/>
        <v>91</v>
      </c>
      <c r="B101" s="30" t="s">
        <v>1159</v>
      </c>
      <c r="C101" s="32" t="s">
        <v>278</v>
      </c>
      <c r="D101" s="544">
        <v>0</v>
      </c>
      <c r="E101" s="132" t="s">
        <v>1585</v>
      </c>
      <c r="F101" s="28" t="s">
        <v>279</v>
      </c>
      <c r="G101" s="31" t="s">
        <v>280</v>
      </c>
    </row>
    <row r="102" spans="1:7" ht="26.4">
      <c r="A102" s="239">
        <f t="shared" si="1"/>
        <v>92</v>
      </c>
      <c r="B102" s="30" t="s">
        <v>1159</v>
      </c>
      <c r="C102" s="32" t="s">
        <v>281</v>
      </c>
      <c r="D102" s="544">
        <v>0</v>
      </c>
      <c r="E102" s="132" t="s">
        <v>1534</v>
      </c>
      <c r="F102" s="28" t="s">
        <v>282</v>
      </c>
      <c r="G102" s="31" t="s">
        <v>283</v>
      </c>
    </row>
    <row r="103" spans="1:7">
      <c r="A103" s="239">
        <f t="shared" si="1"/>
        <v>93</v>
      </c>
      <c r="B103" s="30" t="s">
        <v>1159</v>
      </c>
      <c r="C103" s="32" t="s">
        <v>284</v>
      </c>
      <c r="D103" s="544">
        <v>0</v>
      </c>
      <c r="E103" s="132" t="s">
        <v>1585</v>
      </c>
      <c r="F103" s="28" t="s">
        <v>285</v>
      </c>
      <c r="G103" s="31" t="s">
        <v>286</v>
      </c>
    </row>
    <row r="104" spans="1:7" ht="26.4">
      <c r="A104" s="239">
        <f t="shared" si="1"/>
        <v>94</v>
      </c>
      <c r="B104" s="30" t="s">
        <v>1159</v>
      </c>
      <c r="C104" s="32" t="s">
        <v>287</v>
      </c>
      <c r="D104" s="544">
        <v>0</v>
      </c>
      <c r="E104" s="132" t="s">
        <v>1585</v>
      </c>
      <c r="F104" s="28" t="s">
        <v>288</v>
      </c>
      <c r="G104" s="31" t="s">
        <v>143</v>
      </c>
    </row>
    <row r="105" spans="1:7" ht="26.4">
      <c r="A105" s="239">
        <f t="shared" si="1"/>
        <v>95</v>
      </c>
      <c r="B105" s="30" t="s">
        <v>1159</v>
      </c>
      <c r="C105" s="32" t="s">
        <v>144</v>
      </c>
      <c r="D105" s="544">
        <v>0</v>
      </c>
      <c r="E105" s="132" t="s">
        <v>1585</v>
      </c>
      <c r="F105" s="28" t="s">
        <v>137</v>
      </c>
      <c r="G105" s="31" t="s">
        <v>138</v>
      </c>
    </row>
    <row r="106" spans="1:7" ht="26.4">
      <c r="A106" s="239">
        <f t="shared" si="1"/>
        <v>96</v>
      </c>
      <c r="B106" s="30" t="s">
        <v>1159</v>
      </c>
      <c r="C106" s="32" t="s">
        <v>139</v>
      </c>
      <c r="D106" s="544">
        <v>0</v>
      </c>
      <c r="E106" s="132" t="s">
        <v>1585</v>
      </c>
      <c r="F106" s="28" t="s">
        <v>140</v>
      </c>
      <c r="G106" s="31" t="s">
        <v>1294</v>
      </c>
    </row>
    <row r="107" spans="1:7" ht="39.6">
      <c r="A107" s="239">
        <f t="shared" si="1"/>
        <v>97</v>
      </c>
      <c r="B107" s="30" t="s">
        <v>1159</v>
      </c>
      <c r="C107" s="32" t="s">
        <v>1295</v>
      </c>
      <c r="D107" s="544">
        <v>0</v>
      </c>
      <c r="E107" s="132" t="s">
        <v>1585</v>
      </c>
      <c r="F107" s="28" t="s">
        <v>1296</v>
      </c>
      <c r="G107" s="31" t="s">
        <v>1297</v>
      </c>
    </row>
    <row r="108" spans="1:7" ht="26.4">
      <c r="A108" s="239">
        <f t="shared" si="1"/>
        <v>98</v>
      </c>
      <c r="B108" s="30" t="s">
        <v>1159</v>
      </c>
      <c r="C108" s="32" t="s">
        <v>1298</v>
      </c>
      <c r="D108" s="544">
        <v>0</v>
      </c>
      <c r="E108" s="132" t="s">
        <v>1534</v>
      </c>
      <c r="F108" s="28" t="s">
        <v>1299</v>
      </c>
      <c r="G108" s="31" t="s">
        <v>1300</v>
      </c>
    </row>
    <row r="109" spans="1:7" ht="26.4">
      <c r="A109" s="239">
        <f t="shared" si="1"/>
        <v>99</v>
      </c>
      <c r="B109" s="30" t="s">
        <v>1159</v>
      </c>
      <c r="C109" s="32" t="s">
        <v>1301</v>
      </c>
      <c r="D109" s="544">
        <v>0</v>
      </c>
      <c r="E109" s="132" t="s">
        <v>1534</v>
      </c>
      <c r="F109" s="28" t="s">
        <v>1302</v>
      </c>
      <c r="G109" s="31" t="s">
        <v>1303</v>
      </c>
    </row>
    <row r="110" spans="1:7" ht="14.4" customHeight="1">
      <c r="A110" s="239">
        <f t="shared" si="1"/>
        <v>100</v>
      </c>
      <c r="B110" s="30" t="s">
        <v>1159</v>
      </c>
      <c r="C110" s="32" t="s">
        <v>1304</v>
      </c>
      <c r="D110" s="544">
        <v>0</v>
      </c>
      <c r="E110" s="132" t="s">
        <v>1585</v>
      </c>
      <c r="F110" s="28" t="s">
        <v>1305</v>
      </c>
      <c r="G110" s="31" t="s">
        <v>1306</v>
      </c>
    </row>
    <row r="111" spans="1:7" ht="39.6">
      <c r="A111" s="239">
        <f t="shared" si="1"/>
        <v>101</v>
      </c>
      <c r="B111" s="30" t="s">
        <v>1159</v>
      </c>
      <c r="C111" s="32" t="s">
        <v>1307</v>
      </c>
      <c r="D111" s="544">
        <v>0</v>
      </c>
      <c r="E111" s="132" t="s">
        <v>1585</v>
      </c>
      <c r="F111" s="28" t="s">
        <v>1308</v>
      </c>
      <c r="G111" s="31" t="s">
        <v>1309</v>
      </c>
    </row>
    <row r="112" spans="1:7" ht="26.4">
      <c r="A112" s="239">
        <f t="shared" si="1"/>
        <v>102</v>
      </c>
      <c r="B112" s="30" t="s">
        <v>1159</v>
      </c>
      <c r="C112" s="32" t="s">
        <v>1310</v>
      </c>
      <c r="D112" s="544">
        <v>0</v>
      </c>
      <c r="E112" s="132" t="s">
        <v>1585</v>
      </c>
      <c r="F112" s="28" t="s">
        <v>1311</v>
      </c>
      <c r="G112" s="31" t="s">
        <v>1312</v>
      </c>
    </row>
    <row r="113" spans="1:7">
      <c r="A113" s="239">
        <f t="shared" si="1"/>
        <v>103</v>
      </c>
      <c r="B113" s="30" t="s">
        <v>1159</v>
      </c>
      <c r="C113" s="32" t="s">
        <v>1313</v>
      </c>
      <c r="D113" s="544">
        <v>0</v>
      </c>
      <c r="E113" s="132" t="s">
        <v>1534</v>
      </c>
      <c r="F113" s="28" t="s">
        <v>1314</v>
      </c>
      <c r="G113" s="31" t="s">
        <v>1315</v>
      </c>
    </row>
    <row r="114" spans="1:7">
      <c r="A114" s="239">
        <f t="shared" si="1"/>
        <v>104</v>
      </c>
      <c r="B114" s="30" t="s">
        <v>1159</v>
      </c>
      <c r="C114" s="32" t="s">
        <v>1316</v>
      </c>
      <c r="D114" s="544">
        <v>0</v>
      </c>
      <c r="E114" s="132" t="s">
        <v>1585</v>
      </c>
      <c r="F114" s="28" t="s">
        <v>1317</v>
      </c>
      <c r="G114" s="31" t="s">
        <v>1318</v>
      </c>
    </row>
    <row r="115" spans="1:7" ht="26.4">
      <c r="A115" s="239">
        <f t="shared" si="1"/>
        <v>105</v>
      </c>
      <c r="B115" s="30" t="s">
        <v>1159</v>
      </c>
      <c r="C115" s="32" t="s">
        <v>1319</v>
      </c>
      <c r="D115" s="544">
        <v>0</v>
      </c>
      <c r="E115" s="132" t="s">
        <v>1585</v>
      </c>
      <c r="F115" s="28" t="s">
        <v>1320</v>
      </c>
      <c r="G115" s="31" t="s">
        <v>1321</v>
      </c>
    </row>
    <row r="116" spans="1:7" ht="15" customHeight="1">
      <c r="A116" s="317">
        <f t="shared" si="1"/>
        <v>106</v>
      </c>
      <c r="B116" s="36" t="s">
        <v>1159</v>
      </c>
      <c r="C116" s="1182" t="s">
        <v>1322</v>
      </c>
      <c r="D116" s="544">
        <v>0</v>
      </c>
      <c r="E116" s="132" t="s">
        <v>1534</v>
      </c>
      <c r="F116" s="28" t="s">
        <v>1323</v>
      </c>
      <c r="G116" s="31" t="s">
        <v>1324</v>
      </c>
    </row>
    <row r="117" spans="1:7">
      <c r="A117" s="239">
        <f t="shared" si="1"/>
        <v>107</v>
      </c>
      <c r="B117" s="30" t="s">
        <v>1159</v>
      </c>
      <c r="C117" s="32" t="s">
        <v>1325</v>
      </c>
      <c r="D117" s="544">
        <v>0</v>
      </c>
      <c r="E117" s="132" t="s">
        <v>1585</v>
      </c>
      <c r="F117" s="28" t="s">
        <v>1326</v>
      </c>
      <c r="G117" s="31" t="s">
        <v>1327</v>
      </c>
    </row>
    <row r="118" spans="1:7">
      <c r="A118" s="239">
        <f t="shared" si="1"/>
        <v>108</v>
      </c>
      <c r="B118" s="30" t="s">
        <v>1159</v>
      </c>
      <c r="C118" s="32" t="s">
        <v>1328</v>
      </c>
      <c r="D118" s="544">
        <v>0</v>
      </c>
      <c r="E118" s="132" t="s">
        <v>1585</v>
      </c>
      <c r="F118" s="28" t="s">
        <v>1329</v>
      </c>
      <c r="G118" s="31" t="s">
        <v>1330</v>
      </c>
    </row>
    <row r="119" spans="1:7">
      <c r="A119" s="239">
        <f t="shared" si="1"/>
        <v>109</v>
      </c>
      <c r="B119" s="30" t="s">
        <v>1159</v>
      </c>
      <c r="C119" s="32" t="s">
        <v>1331</v>
      </c>
      <c r="D119" s="544">
        <v>0</v>
      </c>
      <c r="E119" s="132" t="s">
        <v>1585</v>
      </c>
      <c r="F119" s="28" t="s">
        <v>1332</v>
      </c>
      <c r="G119" s="31" t="s">
        <v>1333</v>
      </c>
    </row>
    <row r="120" spans="1:7">
      <c r="A120" s="239">
        <f t="shared" si="1"/>
        <v>110</v>
      </c>
      <c r="B120" s="30" t="s">
        <v>1159</v>
      </c>
      <c r="C120" s="32" t="s">
        <v>1334</v>
      </c>
      <c r="D120" s="544">
        <v>0</v>
      </c>
      <c r="E120" s="132" t="s">
        <v>1585</v>
      </c>
      <c r="F120" s="28" t="s">
        <v>1335</v>
      </c>
      <c r="G120" s="31" t="s">
        <v>1336</v>
      </c>
    </row>
    <row r="121" spans="1:7">
      <c r="A121" s="239">
        <f t="shared" si="1"/>
        <v>111</v>
      </c>
      <c r="B121" s="30" t="s">
        <v>1159</v>
      </c>
      <c r="C121" s="32" t="s">
        <v>1337</v>
      </c>
      <c r="D121" s="544">
        <v>0</v>
      </c>
      <c r="E121" s="132" t="s">
        <v>1585</v>
      </c>
      <c r="F121" s="28" t="s">
        <v>1338</v>
      </c>
      <c r="G121" s="31" t="s">
        <v>1339</v>
      </c>
    </row>
    <row r="122" spans="1:7">
      <c r="A122" s="239">
        <f t="shared" si="1"/>
        <v>112</v>
      </c>
      <c r="B122" s="30" t="s">
        <v>1159</v>
      </c>
      <c r="C122" s="32" t="s">
        <v>1340</v>
      </c>
      <c r="D122" s="544">
        <v>0</v>
      </c>
      <c r="E122" s="132" t="s">
        <v>1585</v>
      </c>
      <c r="F122" s="28" t="s">
        <v>1341</v>
      </c>
      <c r="G122" s="31" t="s">
        <v>1342</v>
      </c>
    </row>
    <row r="123" spans="1:7" ht="26.4">
      <c r="A123" s="239">
        <f t="shared" si="1"/>
        <v>113</v>
      </c>
      <c r="B123" s="30" t="s">
        <v>1159</v>
      </c>
      <c r="C123" s="32" t="s">
        <v>1343</v>
      </c>
      <c r="D123" s="544">
        <v>0</v>
      </c>
      <c r="E123" s="132" t="s">
        <v>1534</v>
      </c>
      <c r="F123" s="28" t="s">
        <v>1344</v>
      </c>
      <c r="G123" s="31" t="s">
        <v>1345</v>
      </c>
    </row>
    <row r="124" spans="1:7" ht="15" customHeight="1">
      <c r="A124" s="239">
        <f t="shared" si="1"/>
        <v>114</v>
      </c>
      <c r="B124" s="30" t="s">
        <v>1159</v>
      </c>
      <c r="C124" s="32" t="s">
        <v>1346</v>
      </c>
      <c r="D124" s="544">
        <v>0</v>
      </c>
      <c r="E124" s="132" t="s">
        <v>1534</v>
      </c>
      <c r="F124" s="28" t="s">
        <v>1347</v>
      </c>
      <c r="G124" s="31" t="s">
        <v>1348</v>
      </c>
    </row>
    <row r="125" spans="1:7">
      <c r="A125" s="239">
        <f t="shared" si="1"/>
        <v>115</v>
      </c>
      <c r="B125" s="30" t="s">
        <v>1159</v>
      </c>
      <c r="C125" s="32" t="s">
        <v>1349</v>
      </c>
      <c r="D125" s="544">
        <v>0</v>
      </c>
      <c r="E125" s="132" t="s">
        <v>1534</v>
      </c>
      <c r="F125" s="28" t="s">
        <v>1350</v>
      </c>
      <c r="G125" s="31" t="s">
        <v>1351</v>
      </c>
    </row>
    <row r="126" spans="1:7" ht="26.4">
      <c r="A126" s="239">
        <f t="shared" si="1"/>
        <v>116</v>
      </c>
      <c r="B126" s="30" t="s">
        <v>1159</v>
      </c>
      <c r="C126" s="32" t="s">
        <v>1352</v>
      </c>
      <c r="D126" s="544">
        <v>0</v>
      </c>
      <c r="E126" s="132" t="s">
        <v>1585</v>
      </c>
      <c r="F126" s="28" t="s">
        <v>1353</v>
      </c>
      <c r="G126" s="31" t="s">
        <v>1354</v>
      </c>
    </row>
    <row r="127" spans="1:7" ht="14.4" customHeight="1">
      <c r="A127" s="239">
        <f t="shared" si="1"/>
        <v>117</v>
      </c>
      <c r="B127" s="30" t="s">
        <v>1159</v>
      </c>
      <c r="C127" s="32" t="s">
        <v>1355</v>
      </c>
      <c r="D127" s="544">
        <v>0</v>
      </c>
      <c r="E127" s="132" t="s">
        <v>1585</v>
      </c>
      <c r="F127" s="28" t="s">
        <v>1356</v>
      </c>
      <c r="G127" s="31" t="s">
        <v>1357</v>
      </c>
    </row>
    <row r="128" spans="1:7">
      <c r="A128" s="239">
        <f t="shared" si="1"/>
        <v>118</v>
      </c>
      <c r="B128" s="30" t="s">
        <v>1159</v>
      </c>
      <c r="C128" s="32" t="s">
        <v>1358</v>
      </c>
      <c r="D128" s="544">
        <v>0</v>
      </c>
      <c r="E128" s="132" t="s">
        <v>1585</v>
      </c>
      <c r="F128" s="28" t="s">
        <v>1359</v>
      </c>
      <c r="G128" s="31" t="s">
        <v>1360</v>
      </c>
    </row>
    <row r="129" spans="1:7" ht="26.4">
      <c r="A129" s="239">
        <f t="shared" si="1"/>
        <v>119</v>
      </c>
      <c r="B129" s="30" t="s">
        <v>1159</v>
      </c>
      <c r="C129" s="32" t="s">
        <v>1361</v>
      </c>
      <c r="D129" s="544">
        <v>0</v>
      </c>
      <c r="E129" s="132" t="s">
        <v>1585</v>
      </c>
      <c r="F129" s="28" t="s">
        <v>1362</v>
      </c>
      <c r="G129" s="31" t="s">
        <v>1363</v>
      </c>
    </row>
    <row r="130" spans="1:7">
      <c r="A130" s="239">
        <f t="shared" si="1"/>
        <v>120</v>
      </c>
      <c r="B130" s="30" t="s">
        <v>1159</v>
      </c>
      <c r="C130" s="32" t="s">
        <v>1364</v>
      </c>
      <c r="D130" s="544">
        <v>0</v>
      </c>
      <c r="E130" s="132" t="s">
        <v>1534</v>
      </c>
      <c r="F130" s="28" t="s">
        <v>1365</v>
      </c>
      <c r="G130" s="31" t="s">
        <v>1366</v>
      </c>
    </row>
    <row r="131" spans="1:7" ht="26.4">
      <c r="A131" s="239">
        <f t="shared" si="1"/>
        <v>121</v>
      </c>
      <c r="B131" s="30" t="s">
        <v>1159</v>
      </c>
      <c r="C131" s="32" t="s">
        <v>1367</v>
      </c>
      <c r="D131" s="544">
        <v>0</v>
      </c>
      <c r="E131" s="132" t="s">
        <v>1534</v>
      </c>
      <c r="F131" s="28" t="s">
        <v>1368</v>
      </c>
      <c r="G131" s="31" t="s">
        <v>1385</v>
      </c>
    </row>
    <row r="132" spans="1:7">
      <c r="A132" s="239">
        <f t="shared" si="1"/>
        <v>122</v>
      </c>
      <c r="B132" s="30" t="s">
        <v>1159</v>
      </c>
      <c r="C132" s="32" t="s">
        <v>1369</v>
      </c>
      <c r="D132" s="544">
        <v>0</v>
      </c>
      <c r="E132" s="132" t="s">
        <v>1585</v>
      </c>
      <c r="F132" s="28" t="s">
        <v>1370</v>
      </c>
      <c r="G132" s="31" t="s">
        <v>1371</v>
      </c>
    </row>
    <row r="133" spans="1:7" ht="26.4">
      <c r="A133" s="239">
        <f t="shared" si="1"/>
        <v>123</v>
      </c>
      <c r="B133" s="30" t="s">
        <v>1159</v>
      </c>
      <c r="C133" s="32" t="s">
        <v>1372</v>
      </c>
      <c r="D133" s="544">
        <v>0</v>
      </c>
      <c r="E133" s="132" t="s">
        <v>1534</v>
      </c>
      <c r="F133" s="28" t="s">
        <v>1373</v>
      </c>
      <c r="G133" s="31" t="s">
        <v>1374</v>
      </c>
    </row>
    <row r="134" spans="1:7" ht="26.4">
      <c r="A134" s="239">
        <f t="shared" si="1"/>
        <v>124</v>
      </c>
      <c r="B134" s="30" t="s">
        <v>1159</v>
      </c>
      <c r="C134" s="32" t="s">
        <v>1375</v>
      </c>
      <c r="D134" s="544">
        <v>0</v>
      </c>
      <c r="E134" s="132" t="s">
        <v>1585</v>
      </c>
      <c r="F134" s="28" t="s">
        <v>1376</v>
      </c>
      <c r="G134" s="31" t="s">
        <v>1011</v>
      </c>
    </row>
    <row r="135" spans="1:7">
      <c r="A135" s="239">
        <f t="shared" si="1"/>
        <v>125</v>
      </c>
      <c r="B135" s="30" t="s">
        <v>1159</v>
      </c>
      <c r="C135" s="32" t="s">
        <v>453</v>
      </c>
      <c r="D135" s="544">
        <v>0</v>
      </c>
      <c r="E135" s="132" t="s">
        <v>1534</v>
      </c>
      <c r="F135" s="28" t="s">
        <v>1373</v>
      </c>
      <c r="G135" s="31" t="s">
        <v>1384</v>
      </c>
    </row>
    <row r="136" spans="1:7" ht="26.4">
      <c r="A136" s="239">
        <f t="shared" si="1"/>
        <v>126</v>
      </c>
      <c r="B136" s="30" t="s">
        <v>1159</v>
      </c>
      <c r="C136" s="32" t="s">
        <v>454</v>
      </c>
      <c r="D136" s="544">
        <v>0</v>
      </c>
      <c r="E136" s="132" t="s">
        <v>1534</v>
      </c>
      <c r="F136" s="28" t="s">
        <v>455</v>
      </c>
      <c r="G136" s="31" t="s">
        <v>673</v>
      </c>
    </row>
    <row r="137" spans="1:7" ht="26.4">
      <c r="A137" s="239">
        <f t="shared" si="1"/>
        <v>127</v>
      </c>
      <c r="B137" s="30" t="s">
        <v>1159</v>
      </c>
      <c r="C137" s="32" t="s">
        <v>674</v>
      </c>
      <c r="D137" s="544">
        <v>0</v>
      </c>
      <c r="E137" s="132" t="s">
        <v>1585</v>
      </c>
      <c r="F137" s="28" t="s">
        <v>675</v>
      </c>
      <c r="G137" s="31" t="s">
        <v>1467</v>
      </c>
    </row>
    <row r="138" spans="1:7" ht="26.4">
      <c r="A138" s="239">
        <f t="shared" si="1"/>
        <v>128</v>
      </c>
      <c r="B138" s="30" t="s">
        <v>1159</v>
      </c>
      <c r="C138" s="32" t="s">
        <v>1468</v>
      </c>
      <c r="D138" s="544">
        <v>0</v>
      </c>
      <c r="E138" s="132" t="s">
        <v>1585</v>
      </c>
      <c r="F138" s="28" t="s">
        <v>1469</v>
      </c>
      <c r="G138" s="31" t="s">
        <v>1470</v>
      </c>
    </row>
    <row r="139" spans="1:7">
      <c r="A139" s="239">
        <f t="shared" si="1"/>
        <v>129</v>
      </c>
      <c r="B139" s="30" t="s">
        <v>1159</v>
      </c>
      <c r="C139" s="32" t="s">
        <v>1471</v>
      </c>
      <c r="D139" s="544">
        <v>0</v>
      </c>
      <c r="E139" s="132" t="s">
        <v>1534</v>
      </c>
      <c r="F139" s="28" t="s">
        <v>1472</v>
      </c>
      <c r="G139" s="31" t="s">
        <v>1473</v>
      </c>
    </row>
    <row r="140" spans="1:7">
      <c r="A140" s="239">
        <f t="shared" si="1"/>
        <v>130</v>
      </c>
      <c r="B140" s="30" t="s">
        <v>1159</v>
      </c>
      <c r="C140" s="32" t="s">
        <v>1474</v>
      </c>
      <c r="D140" s="544">
        <v>0</v>
      </c>
      <c r="E140" s="132" t="s">
        <v>1585</v>
      </c>
      <c r="F140" s="28" t="s">
        <v>1475</v>
      </c>
      <c r="G140" s="31" t="s">
        <v>1476</v>
      </c>
    </row>
    <row r="141" spans="1:7">
      <c r="A141" s="239">
        <f t="shared" si="1"/>
        <v>131</v>
      </c>
      <c r="B141" s="30" t="s">
        <v>1159</v>
      </c>
      <c r="C141" s="32" t="s">
        <v>1477</v>
      </c>
      <c r="D141" s="544">
        <v>0</v>
      </c>
      <c r="E141" s="132" t="s">
        <v>1585</v>
      </c>
      <c r="F141" s="28" t="s">
        <v>1478</v>
      </c>
      <c r="G141" s="31" t="s">
        <v>1479</v>
      </c>
    </row>
    <row r="142" spans="1:7">
      <c r="A142" s="239">
        <f t="shared" ref="A142:A205" si="2">A141+1</f>
        <v>132</v>
      </c>
      <c r="B142" s="30" t="s">
        <v>1159</v>
      </c>
      <c r="C142" s="32" t="s">
        <v>1480</v>
      </c>
      <c r="D142" s="544">
        <v>0</v>
      </c>
      <c r="E142" s="132" t="s">
        <v>1585</v>
      </c>
      <c r="F142" s="28" t="s">
        <v>1481</v>
      </c>
      <c r="G142" s="31" t="s">
        <v>1482</v>
      </c>
    </row>
    <row r="143" spans="1:7">
      <c r="A143" s="239">
        <f t="shared" si="2"/>
        <v>133</v>
      </c>
      <c r="B143" s="30" t="s">
        <v>1159</v>
      </c>
      <c r="C143" s="32" t="s">
        <v>1483</v>
      </c>
      <c r="D143" s="544">
        <v>0</v>
      </c>
      <c r="E143" s="132" t="s">
        <v>1534</v>
      </c>
      <c r="F143" s="28" t="s">
        <v>1484</v>
      </c>
      <c r="G143" s="31" t="s">
        <v>1485</v>
      </c>
    </row>
    <row r="144" spans="1:7">
      <c r="A144" s="239">
        <f t="shared" si="2"/>
        <v>134</v>
      </c>
      <c r="B144" s="30" t="s">
        <v>1159</v>
      </c>
      <c r="C144" s="32" t="s">
        <v>1486</v>
      </c>
      <c r="D144" s="544">
        <v>0</v>
      </c>
      <c r="E144" s="132" t="s">
        <v>1534</v>
      </c>
      <c r="F144" s="28" t="s">
        <v>1487</v>
      </c>
      <c r="G144" s="31" t="s">
        <v>1488</v>
      </c>
    </row>
    <row r="145" spans="1:7">
      <c r="A145" s="239">
        <f t="shared" si="2"/>
        <v>135</v>
      </c>
      <c r="B145" s="30" t="s">
        <v>1159</v>
      </c>
      <c r="C145" s="32" t="s">
        <v>1489</v>
      </c>
      <c r="D145" s="544">
        <v>0</v>
      </c>
      <c r="E145" s="132" t="s">
        <v>1585</v>
      </c>
      <c r="F145" s="28" t="s">
        <v>1490</v>
      </c>
      <c r="G145" s="31" t="s">
        <v>1491</v>
      </c>
    </row>
    <row r="146" spans="1:7" ht="26.4">
      <c r="A146" s="239">
        <f t="shared" si="2"/>
        <v>136</v>
      </c>
      <c r="B146" s="30" t="s">
        <v>1159</v>
      </c>
      <c r="C146" s="32" t="s">
        <v>1492</v>
      </c>
      <c r="D146" s="544">
        <v>0</v>
      </c>
      <c r="E146" s="132" t="s">
        <v>1585</v>
      </c>
      <c r="F146" s="28" t="s">
        <v>1493</v>
      </c>
      <c r="G146" s="31" t="s">
        <v>1494</v>
      </c>
    </row>
    <row r="147" spans="1:7" ht="26.4">
      <c r="A147" s="239">
        <f t="shared" si="2"/>
        <v>137</v>
      </c>
      <c r="B147" s="30" t="s">
        <v>1159</v>
      </c>
      <c r="C147" s="32" t="s">
        <v>1495</v>
      </c>
      <c r="D147" s="544">
        <v>0</v>
      </c>
      <c r="E147" s="132" t="s">
        <v>1585</v>
      </c>
      <c r="F147" s="28" t="s">
        <v>1496</v>
      </c>
      <c r="G147" s="31" t="s">
        <v>1497</v>
      </c>
    </row>
    <row r="148" spans="1:7">
      <c r="A148" s="239">
        <f t="shared" si="2"/>
        <v>138</v>
      </c>
      <c r="B148" s="30" t="s">
        <v>1159</v>
      </c>
      <c r="C148" s="32" t="s">
        <v>1498</v>
      </c>
      <c r="D148" s="544">
        <v>0</v>
      </c>
      <c r="E148" s="132" t="s">
        <v>1585</v>
      </c>
      <c r="F148" s="28" t="s">
        <v>1499</v>
      </c>
      <c r="G148" s="31" t="s">
        <v>1500</v>
      </c>
    </row>
    <row r="149" spans="1:7">
      <c r="A149" s="239">
        <f t="shared" si="2"/>
        <v>139</v>
      </c>
      <c r="B149" s="30" t="s">
        <v>1159</v>
      </c>
      <c r="C149" s="32" t="s">
        <v>1501</v>
      </c>
      <c r="D149" s="544">
        <v>0</v>
      </c>
      <c r="E149" s="132" t="s">
        <v>1534</v>
      </c>
      <c r="F149" s="28" t="s">
        <v>1502</v>
      </c>
      <c r="G149" s="31" t="s">
        <v>1503</v>
      </c>
    </row>
    <row r="150" spans="1:7">
      <c r="A150" s="239">
        <f t="shared" si="2"/>
        <v>140</v>
      </c>
      <c r="B150" s="30" t="s">
        <v>1159</v>
      </c>
      <c r="C150" s="32" t="s">
        <v>1504</v>
      </c>
      <c r="D150" s="544">
        <v>0</v>
      </c>
      <c r="E150" s="132" t="s">
        <v>1585</v>
      </c>
      <c r="F150" s="28" t="s">
        <v>1505</v>
      </c>
      <c r="G150" s="31" t="s">
        <v>1506</v>
      </c>
    </row>
    <row r="151" spans="1:7">
      <c r="A151" s="239">
        <f t="shared" si="2"/>
        <v>141</v>
      </c>
      <c r="B151" s="30" t="s">
        <v>1159</v>
      </c>
      <c r="C151" s="32" t="s">
        <v>1507</v>
      </c>
      <c r="D151" s="544">
        <v>0</v>
      </c>
      <c r="E151" s="132" t="s">
        <v>1585</v>
      </c>
      <c r="F151" s="28" t="s">
        <v>1508</v>
      </c>
      <c r="G151" s="31" t="s">
        <v>1509</v>
      </c>
    </row>
    <row r="152" spans="1:7">
      <c r="A152" s="239">
        <f t="shared" si="2"/>
        <v>142</v>
      </c>
      <c r="B152" s="30" t="s">
        <v>1159</v>
      </c>
      <c r="C152" s="32" t="s">
        <v>1510</v>
      </c>
      <c r="D152" s="544">
        <v>0</v>
      </c>
      <c r="E152" s="132" t="s">
        <v>1585</v>
      </c>
      <c r="F152" s="28" t="s">
        <v>1511</v>
      </c>
      <c r="G152" s="31" t="s">
        <v>1512</v>
      </c>
    </row>
    <row r="153" spans="1:7">
      <c r="A153" s="239">
        <f t="shared" si="2"/>
        <v>143</v>
      </c>
      <c r="B153" s="30" t="s">
        <v>1159</v>
      </c>
      <c r="C153" s="32" t="s">
        <v>1513</v>
      </c>
      <c r="D153" s="544">
        <v>0</v>
      </c>
      <c r="E153" s="132" t="s">
        <v>1585</v>
      </c>
      <c r="F153" s="28" t="s">
        <v>1514</v>
      </c>
      <c r="G153" s="31" t="s">
        <v>1515</v>
      </c>
    </row>
    <row r="154" spans="1:7">
      <c r="A154" s="317">
        <f t="shared" si="2"/>
        <v>144</v>
      </c>
      <c r="B154" s="36" t="s">
        <v>1159</v>
      </c>
      <c r="C154" s="1182" t="s">
        <v>1516</v>
      </c>
      <c r="D154" s="544">
        <v>0</v>
      </c>
      <c r="E154" s="132" t="s">
        <v>1585</v>
      </c>
      <c r="F154" s="28" t="s">
        <v>1517</v>
      </c>
      <c r="G154" s="31" t="s">
        <v>1518</v>
      </c>
    </row>
    <row r="155" spans="1:7" ht="26.4">
      <c r="A155" s="239">
        <f t="shared" si="2"/>
        <v>145</v>
      </c>
      <c r="B155" s="30" t="s">
        <v>1159</v>
      </c>
      <c r="C155" s="32" t="s">
        <v>1519</v>
      </c>
      <c r="D155" s="544">
        <v>0</v>
      </c>
      <c r="E155" s="132" t="s">
        <v>1534</v>
      </c>
      <c r="F155" s="28" t="s">
        <v>1520</v>
      </c>
      <c r="G155" s="31" t="s">
        <v>1466</v>
      </c>
    </row>
    <row r="156" spans="1:7">
      <c r="A156" s="239">
        <f t="shared" si="2"/>
        <v>146</v>
      </c>
      <c r="B156" s="621">
        <v>1070004</v>
      </c>
      <c r="C156" s="32" t="s">
        <v>449</v>
      </c>
      <c r="D156" s="544">
        <v>0</v>
      </c>
      <c r="E156" s="132" t="s">
        <v>1585</v>
      </c>
      <c r="F156" s="28" t="s">
        <v>83</v>
      </c>
      <c r="G156" s="31" t="s">
        <v>166</v>
      </c>
    </row>
    <row r="157" spans="1:7">
      <c r="A157" s="239">
        <f t="shared" si="2"/>
        <v>147</v>
      </c>
      <c r="B157" s="30">
        <v>1070004</v>
      </c>
      <c r="C157" s="32" t="s">
        <v>450</v>
      </c>
      <c r="D157" s="544">
        <v>0</v>
      </c>
      <c r="E157" s="132" t="s">
        <v>1585</v>
      </c>
      <c r="F157" s="28" t="s">
        <v>164</v>
      </c>
      <c r="G157" s="31" t="s">
        <v>165</v>
      </c>
    </row>
    <row r="158" spans="1:7">
      <c r="A158" s="239">
        <f t="shared" si="2"/>
        <v>148</v>
      </c>
      <c r="B158" s="30">
        <v>1070004</v>
      </c>
      <c r="C158" s="32" t="s">
        <v>451</v>
      </c>
      <c r="D158" s="544">
        <v>0</v>
      </c>
      <c r="E158" s="132" t="s">
        <v>1585</v>
      </c>
      <c r="F158" s="28" t="s">
        <v>167</v>
      </c>
      <c r="G158" s="31" t="s">
        <v>168</v>
      </c>
    </row>
    <row r="159" spans="1:7">
      <c r="A159" s="239">
        <f t="shared" si="2"/>
        <v>149</v>
      </c>
      <c r="B159" s="30">
        <v>1070004</v>
      </c>
      <c r="C159" s="32" t="s">
        <v>452</v>
      </c>
      <c r="D159" s="544">
        <v>0</v>
      </c>
      <c r="E159" s="132" t="s">
        <v>1585</v>
      </c>
      <c r="F159" s="28" t="s">
        <v>169</v>
      </c>
      <c r="G159" s="31" t="s">
        <v>170</v>
      </c>
    </row>
    <row r="160" spans="1:7">
      <c r="A160" s="239">
        <f t="shared" si="2"/>
        <v>150</v>
      </c>
      <c r="B160" s="30">
        <v>1070004</v>
      </c>
      <c r="C160" s="32" t="s">
        <v>1173</v>
      </c>
      <c r="D160" s="544">
        <v>0</v>
      </c>
      <c r="E160" s="132" t="s">
        <v>1585</v>
      </c>
      <c r="F160" s="28" t="s">
        <v>171</v>
      </c>
      <c r="G160" s="31" t="s">
        <v>172</v>
      </c>
    </row>
    <row r="161" spans="1:7">
      <c r="A161" s="239">
        <f t="shared" si="2"/>
        <v>151</v>
      </c>
      <c r="B161" s="30">
        <v>1070004</v>
      </c>
      <c r="C161" s="32" t="s">
        <v>1174</v>
      </c>
      <c r="D161" s="544">
        <v>0</v>
      </c>
      <c r="E161" s="132" t="s">
        <v>1585</v>
      </c>
      <c r="F161" s="28" t="s">
        <v>173</v>
      </c>
      <c r="G161" s="31" t="s">
        <v>937</v>
      </c>
    </row>
    <row r="162" spans="1:7">
      <c r="A162" s="239">
        <f t="shared" si="2"/>
        <v>152</v>
      </c>
      <c r="B162" s="30">
        <v>1070004</v>
      </c>
      <c r="C162" s="32" t="s">
        <v>1175</v>
      </c>
      <c r="D162" s="544">
        <v>0</v>
      </c>
      <c r="E162" s="132" t="s">
        <v>1585</v>
      </c>
      <c r="F162" s="28" t="s">
        <v>174</v>
      </c>
      <c r="G162" s="31" t="s">
        <v>938</v>
      </c>
    </row>
    <row r="163" spans="1:7">
      <c r="A163" s="239">
        <f t="shared" si="2"/>
        <v>153</v>
      </c>
      <c r="B163" s="30">
        <v>1070004</v>
      </c>
      <c r="C163" s="32" t="s">
        <v>1176</v>
      </c>
      <c r="D163" s="544">
        <v>0</v>
      </c>
      <c r="E163" s="132" t="s">
        <v>1585</v>
      </c>
      <c r="F163" s="28" t="s">
        <v>175</v>
      </c>
      <c r="G163" s="31" t="s">
        <v>939</v>
      </c>
    </row>
    <row r="164" spans="1:7" ht="26.4">
      <c r="A164" s="239">
        <f t="shared" si="2"/>
        <v>154</v>
      </c>
      <c r="B164" s="30">
        <v>1070004</v>
      </c>
      <c r="C164" s="32" t="s">
        <v>1177</v>
      </c>
      <c r="D164" s="544">
        <v>0</v>
      </c>
      <c r="E164" s="132" t="s">
        <v>1585</v>
      </c>
      <c r="F164" s="28" t="s">
        <v>176</v>
      </c>
      <c r="G164" s="31" t="s">
        <v>608</v>
      </c>
    </row>
    <row r="165" spans="1:7" ht="26.4">
      <c r="A165" s="239">
        <f t="shared" si="2"/>
        <v>155</v>
      </c>
      <c r="B165" s="30">
        <v>1070004</v>
      </c>
      <c r="C165" s="32" t="s">
        <v>1178</v>
      </c>
      <c r="D165" s="544">
        <v>0</v>
      </c>
      <c r="E165" s="132" t="s">
        <v>1585</v>
      </c>
      <c r="F165" s="28" t="s">
        <v>177</v>
      </c>
      <c r="G165" s="31" t="s">
        <v>940</v>
      </c>
    </row>
    <row r="166" spans="1:7" ht="52.8">
      <c r="A166" s="239">
        <f t="shared" si="2"/>
        <v>156</v>
      </c>
      <c r="B166" s="30">
        <v>1070004</v>
      </c>
      <c r="C166" s="32" t="s">
        <v>1179</v>
      </c>
      <c r="D166" s="544">
        <v>0</v>
      </c>
      <c r="E166" s="132" t="s">
        <v>1585</v>
      </c>
      <c r="F166" s="31" t="s">
        <v>2872</v>
      </c>
      <c r="G166" s="31" t="s">
        <v>2873</v>
      </c>
    </row>
    <row r="167" spans="1:7">
      <c r="A167" s="239">
        <f t="shared" si="2"/>
        <v>157</v>
      </c>
      <c r="B167" s="30">
        <v>1070004</v>
      </c>
      <c r="C167" s="32" t="s">
        <v>1180</v>
      </c>
      <c r="D167" s="1341">
        <v>0</v>
      </c>
      <c r="E167" s="132" t="s">
        <v>1585</v>
      </c>
      <c r="F167" s="28" t="s">
        <v>1439</v>
      </c>
      <c r="G167" s="31" t="s">
        <v>1440</v>
      </c>
    </row>
    <row r="168" spans="1:7">
      <c r="A168" s="239">
        <f t="shared" si="2"/>
        <v>158</v>
      </c>
      <c r="B168" s="30">
        <v>1070004</v>
      </c>
      <c r="C168" s="32" t="s">
        <v>1181</v>
      </c>
      <c r="D168" s="1341">
        <v>0</v>
      </c>
      <c r="E168" s="132" t="s">
        <v>1585</v>
      </c>
      <c r="F168" s="28" t="s">
        <v>178</v>
      </c>
      <c r="G168" s="31" t="s">
        <v>941</v>
      </c>
    </row>
    <row r="169" spans="1:7">
      <c r="A169" s="239">
        <f t="shared" si="2"/>
        <v>159</v>
      </c>
      <c r="B169" s="30">
        <v>1070004</v>
      </c>
      <c r="C169" s="32" t="s">
        <v>1182</v>
      </c>
      <c r="D169" s="1341">
        <v>0</v>
      </c>
      <c r="E169" s="132" t="s">
        <v>1585</v>
      </c>
      <c r="F169" s="28" t="s">
        <v>1548</v>
      </c>
      <c r="G169" s="31" t="s">
        <v>1549</v>
      </c>
    </row>
    <row r="170" spans="1:7">
      <c r="A170" s="239">
        <f t="shared" si="2"/>
        <v>160</v>
      </c>
      <c r="B170" s="30">
        <v>1070004</v>
      </c>
      <c r="C170" s="32" t="s">
        <v>1183</v>
      </c>
      <c r="D170" s="1341">
        <v>0</v>
      </c>
      <c r="E170" s="132" t="s">
        <v>1585</v>
      </c>
      <c r="F170" s="28" t="s">
        <v>1550</v>
      </c>
      <c r="G170" s="31" t="s">
        <v>613</v>
      </c>
    </row>
    <row r="171" spans="1:7">
      <c r="A171" s="239">
        <f t="shared" si="2"/>
        <v>161</v>
      </c>
      <c r="B171" s="30">
        <v>1070004</v>
      </c>
      <c r="C171" s="32" t="s">
        <v>1184</v>
      </c>
      <c r="D171" s="1341">
        <v>0</v>
      </c>
      <c r="E171" s="132" t="s">
        <v>1585</v>
      </c>
      <c r="F171" s="28" t="s">
        <v>1551</v>
      </c>
      <c r="G171" s="31" t="s">
        <v>182</v>
      </c>
    </row>
    <row r="172" spans="1:7">
      <c r="A172" s="239">
        <f t="shared" si="2"/>
        <v>162</v>
      </c>
      <c r="B172" s="30">
        <v>1070004</v>
      </c>
      <c r="C172" s="32" t="s">
        <v>1185</v>
      </c>
      <c r="D172" s="1341">
        <v>0</v>
      </c>
      <c r="E172" s="132" t="s">
        <v>1585</v>
      </c>
      <c r="F172" s="28" t="s">
        <v>1552</v>
      </c>
      <c r="G172" s="31" t="s">
        <v>614</v>
      </c>
    </row>
    <row r="173" spans="1:7">
      <c r="A173" s="239">
        <f t="shared" si="2"/>
        <v>163</v>
      </c>
      <c r="B173" s="30">
        <v>1070004</v>
      </c>
      <c r="C173" s="32" t="s">
        <v>1186</v>
      </c>
      <c r="D173" s="1341">
        <v>0</v>
      </c>
      <c r="E173" s="132" t="s">
        <v>1585</v>
      </c>
      <c r="F173" s="28" t="s">
        <v>1553</v>
      </c>
      <c r="G173" s="31" t="s">
        <v>762</v>
      </c>
    </row>
    <row r="174" spans="1:7" ht="26.4">
      <c r="A174" s="239">
        <f t="shared" si="2"/>
        <v>164</v>
      </c>
      <c r="B174" s="30">
        <v>1070004</v>
      </c>
      <c r="C174" s="32" t="s">
        <v>1187</v>
      </c>
      <c r="D174" s="1341">
        <v>0</v>
      </c>
      <c r="E174" s="132" t="s">
        <v>1585</v>
      </c>
      <c r="F174" s="28" t="s">
        <v>1554</v>
      </c>
      <c r="G174" s="31" t="s">
        <v>942</v>
      </c>
    </row>
    <row r="175" spans="1:7" ht="26.4">
      <c r="A175" s="239">
        <f t="shared" si="2"/>
        <v>165</v>
      </c>
      <c r="B175" s="30">
        <v>1070004</v>
      </c>
      <c r="C175" s="32" t="s">
        <v>1188</v>
      </c>
      <c r="D175" s="1341">
        <v>0</v>
      </c>
      <c r="E175" s="132" t="s">
        <v>1585</v>
      </c>
      <c r="F175" s="28" t="s">
        <v>1555</v>
      </c>
      <c r="G175" s="31" t="s">
        <v>943</v>
      </c>
    </row>
    <row r="176" spans="1:7" ht="26.4">
      <c r="A176" s="239">
        <f t="shared" si="2"/>
        <v>166</v>
      </c>
      <c r="B176" s="30">
        <v>1070004</v>
      </c>
      <c r="C176" s="32" t="s">
        <v>1189</v>
      </c>
      <c r="D176" s="1341">
        <v>133677.35</v>
      </c>
      <c r="E176" s="132" t="s">
        <v>1585</v>
      </c>
      <c r="F176" s="28" t="s">
        <v>1556</v>
      </c>
      <c r="G176" s="31" t="s">
        <v>183</v>
      </c>
    </row>
    <row r="177" spans="1:9" ht="26.4">
      <c r="A177" s="239">
        <f t="shared" si="2"/>
        <v>167</v>
      </c>
      <c r="B177" s="30">
        <v>1070004</v>
      </c>
      <c r="C177" s="32" t="s">
        <v>1190</v>
      </c>
      <c r="D177" s="1341">
        <v>0</v>
      </c>
      <c r="E177" s="132" t="s">
        <v>1585</v>
      </c>
      <c r="F177" s="28" t="s">
        <v>1557</v>
      </c>
      <c r="G177" s="31" t="s">
        <v>1558</v>
      </c>
    </row>
    <row r="178" spans="1:9" ht="26.4">
      <c r="A178" s="239">
        <f t="shared" si="2"/>
        <v>168</v>
      </c>
      <c r="B178" s="30">
        <v>1070004</v>
      </c>
      <c r="C178" s="32" t="s">
        <v>1191</v>
      </c>
      <c r="D178" s="1341">
        <v>0</v>
      </c>
      <c r="E178" s="132" t="s">
        <v>1585</v>
      </c>
      <c r="F178" s="28" t="s">
        <v>1559</v>
      </c>
      <c r="G178" s="31" t="s">
        <v>604</v>
      </c>
    </row>
    <row r="179" spans="1:9">
      <c r="A179" s="239">
        <f t="shared" si="2"/>
        <v>169</v>
      </c>
      <c r="B179" s="30">
        <v>1070004</v>
      </c>
      <c r="C179" s="32" t="s">
        <v>1192</v>
      </c>
      <c r="D179" s="544">
        <v>0</v>
      </c>
      <c r="E179" s="132" t="s">
        <v>1585</v>
      </c>
      <c r="F179" s="28" t="s">
        <v>1560</v>
      </c>
      <c r="G179" s="31" t="s">
        <v>330</v>
      </c>
    </row>
    <row r="180" spans="1:9">
      <c r="A180" s="239">
        <f t="shared" si="2"/>
        <v>170</v>
      </c>
      <c r="B180" s="30">
        <v>1070004</v>
      </c>
      <c r="C180" s="32" t="s">
        <v>1193</v>
      </c>
      <c r="D180" s="544">
        <v>0</v>
      </c>
      <c r="E180" s="132" t="s">
        <v>1585</v>
      </c>
      <c r="F180" s="28" t="s">
        <v>1561</v>
      </c>
      <c r="G180" s="31" t="s">
        <v>601</v>
      </c>
    </row>
    <row r="181" spans="1:9" ht="26.4">
      <c r="A181" s="239">
        <f t="shared" si="2"/>
        <v>171</v>
      </c>
      <c r="B181" s="30">
        <v>1070004</v>
      </c>
      <c r="C181" s="32" t="s">
        <v>1194</v>
      </c>
      <c r="D181" s="544">
        <v>0</v>
      </c>
      <c r="E181" s="132" t="s">
        <v>1585</v>
      </c>
      <c r="F181" s="28" t="s">
        <v>1562</v>
      </c>
      <c r="G181" s="31" t="s">
        <v>184</v>
      </c>
    </row>
    <row r="182" spans="1:9">
      <c r="A182" s="239">
        <f t="shared" si="2"/>
        <v>172</v>
      </c>
      <c r="B182" s="30">
        <v>1070004</v>
      </c>
      <c r="C182" s="32" t="s">
        <v>1195</v>
      </c>
      <c r="D182" s="544">
        <v>0</v>
      </c>
      <c r="E182" s="132" t="s">
        <v>1585</v>
      </c>
      <c r="F182" s="28" t="s">
        <v>1563</v>
      </c>
      <c r="G182" s="31" t="s">
        <v>615</v>
      </c>
    </row>
    <row r="183" spans="1:9" ht="26.4">
      <c r="A183" s="239">
        <f t="shared" si="2"/>
        <v>173</v>
      </c>
      <c r="B183" s="30">
        <v>1070004</v>
      </c>
      <c r="C183" s="32" t="s">
        <v>1196</v>
      </c>
      <c r="D183" s="544">
        <v>0</v>
      </c>
      <c r="E183" s="132" t="s">
        <v>1585</v>
      </c>
      <c r="F183" s="28" t="s">
        <v>1564</v>
      </c>
      <c r="G183" s="31" t="s">
        <v>616</v>
      </c>
      <c r="I183" s="9" t="s">
        <v>476</v>
      </c>
    </row>
    <row r="184" spans="1:9">
      <c r="A184" s="239">
        <f t="shared" si="2"/>
        <v>174</v>
      </c>
      <c r="B184" s="30">
        <v>1070004</v>
      </c>
      <c r="C184" s="32" t="s">
        <v>818</v>
      </c>
      <c r="D184" s="544">
        <v>0</v>
      </c>
      <c r="E184" s="132" t="s">
        <v>1585</v>
      </c>
      <c r="F184" s="28" t="s">
        <v>327</v>
      </c>
      <c r="G184" s="31" t="s">
        <v>185</v>
      </c>
    </row>
    <row r="185" spans="1:9" ht="26.4">
      <c r="A185" s="239">
        <f t="shared" si="2"/>
        <v>175</v>
      </c>
      <c r="B185" s="30">
        <v>1070004</v>
      </c>
      <c r="C185" s="32" t="s">
        <v>819</v>
      </c>
      <c r="D185" s="544">
        <v>0</v>
      </c>
      <c r="E185" s="132" t="s">
        <v>1585</v>
      </c>
      <c r="F185" s="28" t="s">
        <v>328</v>
      </c>
      <c r="G185" s="31" t="s">
        <v>331</v>
      </c>
    </row>
    <row r="186" spans="1:9" ht="26.4">
      <c r="A186" s="239">
        <f t="shared" si="2"/>
        <v>176</v>
      </c>
      <c r="B186" s="30">
        <v>1070004</v>
      </c>
      <c r="C186" s="32" t="s">
        <v>820</v>
      </c>
      <c r="D186" s="544">
        <v>0</v>
      </c>
      <c r="E186" s="132" t="s">
        <v>1585</v>
      </c>
      <c r="F186" s="28" t="s">
        <v>329</v>
      </c>
      <c r="G186" s="31" t="s">
        <v>602</v>
      </c>
    </row>
    <row r="187" spans="1:9">
      <c r="A187" s="239">
        <f t="shared" si="2"/>
        <v>177</v>
      </c>
      <c r="B187" s="30">
        <v>1070004</v>
      </c>
      <c r="C187" s="32" t="s">
        <v>821</v>
      </c>
      <c r="D187" s="544">
        <v>0</v>
      </c>
      <c r="E187" s="132" t="s">
        <v>1585</v>
      </c>
      <c r="F187" s="28" t="s">
        <v>1442</v>
      </c>
      <c r="G187" s="31" t="s">
        <v>1443</v>
      </c>
    </row>
    <row r="188" spans="1:9">
      <c r="A188" s="239">
        <f t="shared" si="2"/>
        <v>178</v>
      </c>
      <c r="B188" s="30">
        <v>1070004</v>
      </c>
      <c r="C188" s="32" t="s">
        <v>822</v>
      </c>
      <c r="D188" s="544">
        <v>0</v>
      </c>
      <c r="E188" s="132" t="s">
        <v>1585</v>
      </c>
      <c r="F188" s="28" t="s">
        <v>332</v>
      </c>
      <c r="G188" s="31" t="s">
        <v>609</v>
      </c>
    </row>
    <row r="189" spans="1:9">
      <c r="A189" s="317">
        <f t="shared" si="2"/>
        <v>179</v>
      </c>
      <c r="B189" s="36">
        <v>1070004</v>
      </c>
      <c r="C189" s="1182" t="s">
        <v>823</v>
      </c>
      <c r="D189" s="544">
        <v>0</v>
      </c>
      <c r="E189" s="132" t="s">
        <v>1585</v>
      </c>
      <c r="F189" s="28" t="s">
        <v>333</v>
      </c>
      <c r="G189" s="31" t="s">
        <v>617</v>
      </c>
    </row>
    <row r="190" spans="1:9">
      <c r="A190" s="239">
        <f t="shared" si="2"/>
        <v>180</v>
      </c>
      <c r="B190" s="30">
        <v>1070004</v>
      </c>
      <c r="C190" s="32" t="s">
        <v>824</v>
      </c>
      <c r="D190" s="544">
        <v>0</v>
      </c>
      <c r="E190" s="132" t="s">
        <v>1585</v>
      </c>
      <c r="F190" s="28" t="s">
        <v>334</v>
      </c>
      <c r="G190" s="31" t="s">
        <v>335</v>
      </c>
    </row>
    <row r="191" spans="1:9" ht="26.4">
      <c r="A191" s="239">
        <f t="shared" si="2"/>
        <v>181</v>
      </c>
      <c r="B191" s="30">
        <v>1070004</v>
      </c>
      <c r="C191" s="32" t="s">
        <v>825</v>
      </c>
      <c r="D191" s="544">
        <v>0</v>
      </c>
      <c r="E191" s="132" t="s">
        <v>1585</v>
      </c>
      <c r="F191" s="28" t="s">
        <v>336</v>
      </c>
      <c r="G191" s="31" t="s">
        <v>179</v>
      </c>
    </row>
    <row r="192" spans="1:9">
      <c r="A192" s="239">
        <f t="shared" si="2"/>
        <v>182</v>
      </c>
      <c r="B192" s="30">
        <v>1070004</v>
      </c>
      <c r="C192" s="32" t="s">
        <v>826</v>
      </c>
      <c r="D192" s="544">
        <v>0</v>
      </c>
      <c r="E192" s="132" t="s">
        <v>1585</v>
      </c>
      <c r="F192" s="28" t="s">
        <v>337</v>
      </c>
      <c r="G192" s="31" t="s">
        <v>603</v>
      </c>
    </row>
    <row r="193" spans="1:7">
      <c r="A193" s="239">
        <f t="shared" si="2"/>
        <v>183</v>
      </c>
      <c r="B193" s="30">
        <v>1070004</v>
      </c>
      <c r="C193" s="32" t="s">
        <v>827</v>
      </c>
      <c r="D193" s="544">
        <v>0</v>
      </c>
      <c r="E193" s="132" t="s">
        <v>1585</v>
      </c>
      <c r="F193" s="28" t="s">
        <v>338</v>
      </c>
      <c r="G193" s="31" t="s">
        <v>759</v>
      </c>
    </row>
    <row r="194" spans="1:7" ht="26.4">
      <c r="A194" s="239">
        <f t="shared" si="2"/>
        <v>184</v>
      </c>
      <c r="B194" s="30">
        <v>1070004</v>
      </c>
      <c r="C194" s="32" t="s">
        <v>828</v>
      </c>
      <c r="D194" s="544">
        <v>0</v>
      </c>
      <c r="E194" s="132" t="s">
        <v>1585</v>
      </c>
      <c r="F194" s="28" t="s">
        <v>339</v>
      </c>
      <c r="G194" s="31" t="s">
        <v>605</v>
      </c>
    </row>
    <row r="195" spans="1:7">
      <c r="A195" s="239">
        <f t="shared" si="2"/>
        <v>185</v>
      </c>
      <c r="B195" s="30">
        <v>1070004</v>
      </c>
      <c r="C195" s="32" t="s">
        <v>829</v>
      </c>
      <c r="D195" s="544">
        <v>0</v>
      </c>
      <c r="E195" s="132" t="s">
        <v>1585</v>
      </c>
      <c r="F195" s="28" t="s">
        <v>340</v>
      </c>
      <c r="G195" s="31" t="s">
        <v>341</v>
      </c>
    </row>
    <row r="196" spans="1:7" ht="26.4">
      <c r="A196" s="239">
        <f t="shared" si="2"/>
        <v>186</v>
      </c>
      <c r="B196" s="30">
        <v>1070004</v>
      </c>
      <c r="C196" s="32" t="s">
        <v>830</v>
      </c>
      <c r="D196" s="544">
        <v>0</v>
      </c>
      <c r="E196" s="132" t="s">
        <v>1585</v>
      </c>
      <c r="F196" s="28" t="s">
        <v>342</v>
      </c>
      <c r="G196" s="31" t="s">
        <v>610</v>
      </c>
    </row>
    <row r="197" spans="1:7">
      <c r="A197" s="239">
        <f t="shared" si="2"/>
        <v>187</v>
      </c>
      <c r="B197" s="30">
        <v>1070004</v>
      </c>
      <c r="C197" s="32" t="s">
        <v>831</v>
      </c>
      <c r="D197" s="544">
        <v>0</v>
      </c>
      <c r="E197" s="132" t="s">
        <v>1585</v>
      </c>
      <c r="F197" s="28" t="s">
        <v>343</v>
      </c>
      <c r="G197" s="31" t="s">
        <v>763</v>
      </c>
    </row>
    <row r="198" spans="1:7" ht="26.4">
      <c r="A198" s="239">
        <f t="shared" si="2"/>
        <v>188</v>
      </c>
      <c r="B198" s="30">
        <v>1070004</v>
      </c>
      <c r="C198" s="32" t="s">
        <v>832</v>
      </c>
      <c r="D198" s="1341">
        <v>0</v>
      </c>
      <c r="E198" s="132" t="s">
        <v>1585</v>
      </c>
      <c r="F198" s="28" t="s">
        <v>344</v>
      </c>
      <c r="G198" s="31" t="s">
        <v>764</v>
      </c>
    </row>
    <row r="199" spans="1:7">
      <c r="A199" s="239">
        <f t="shared" si="2"/>
        <v>189</v>
      </c>
      <c r="B199" s="30">
        <v>1070004</v>
      </c>
      <c r="C199" s="32" t="s">
        <v>833</v>
      </c>
      <c r="D199" s="1341">
        <v>0</v>
      </c>
      <c r="E199" s="132" t="s">
        <v>1585</v>
      </c>
      <c r="F199" s="28" t="s">
        <v>345</v>
      </c>
      <c r="G199" s="31" t="s">
        <v>761</v>
      </c>
    </row>
    <row r="200" spans="1:7">
      <c r="A200" s="239">
        <f t="shared" si="2"/>
        <v>190</v>
      </c>
      <c r="B200" s="30">
        <v>1070004</v>
      </c>
      <c r="C200" s="32" t="s">
        <v>834</v>
      </c>
      <c r="D200" s="1341">
        <v>0</v>
      </c>
      <c r="E200" s="132" t="s">
        <v>1585</v>
      </c>
      <c r="F200" s="28" t="s">
        <v>346</v>
      </c>
      <c r="G200" s="31" t="s">
        <v>180</v>
      </c>
    </row>
    <row r="201" spans="1:7" ht="26.4">
      <c r="A201" s="239">
        <f t="shared" si="2"/>
        <v>191</v>
      </c>
      <c r="B201" s="30">
        <v>1070004</v>
      </c>
      <c r="C201" s="32" t="s">
        <v>835</v>
      </c>
      <c r="D201" s="1341">
        <v>0</v>
      </c>
      <c r="E201" s="132" t="s">
        <v>1585</v>
      </c>
      <c r="F201" s="28" t="s">
        <v>347</v>
      </c>
      <c r="G201" s="31" t="s">
        <v>611</v>
      </c>
    </row>
    <row r="202" spans="1:7" ht="26.4">
      <c r="A202" s="239">
        <f t="shared" si="2"/>
        <v>192</v>
      </c>
      <c r="B202" s="30">
        <v>1070004</v>
      </c>
      <c r="C202" s="32" t="s">
        <v>836</v>
      </c>
      <c r="D202" s="1341">
        <v>0</v>
      </c>
      <c r="E202" s="132" t="s">
        <v>1585</v>
      </c>
      <c r="F202" s="28" t="s">
        <v>348</v>
      </c>
      <c r="G202" s="31" t="s">
        <v>606</v>
      </c>
    </row>
    <row r="203" spans="1:7">
      <c r="A203" s="239">
        <f t="shared" si="2"/>
        <v>193</v>
      </c>
      <c r="B203" s="30">
        <v>1070004</v>
      </c>
      <c r="C203" s="32" t="s">
        <v>837</v>
      </c>
      <c r="D203" s="1341">
        <v>0</v>
      </c>
      <c r="E203" s="132" t="s">
        <v>1585</v>
      </c>
      <c r="F203" s="28" t="s">
        <v>349</v>
      </c>
      <c r="G203" s="31" t="s">
        <v>760</v>
      </c>
    </row>
    <row r="204" spans="1:7">
      <c r="A204" s="239">
        <f t="shared" si="2"/>
        <v>194</v>
      </c>
      <c r="B204" s="30">
        <v>1070004</v>
      </c>
      <c r="C204" s="32" t="s">
        <v>838</v>
      </c>
      <c r="D204" s="1341">
        <v>0</v>
      </c>
      <c r="E204" s="132" t="s">
        <v>1585</v>
      </c>
      <c r="F204" s="28" t="s">
        <v>350</v>
      </c>
      <c r="G204" s="31" t="s">
        <v>607</v>
      </c>
    </row>
    <row r="205" spans="1:7">
      <c r="A205" s="239">
        <f t="shared" si="2"/>
        <v>195</v>
      </c>
      <c r="B205" s="30">
        <v>1070004</v>
      </c>
      <c r="C205" s="32" t="s">
        <v>839</v>
      </c>
      <c r="D205" s="1341">
        <v>0</v>
      </c>
      <c r="E205" s="132" t="s">
        <v>1585</v>
      </c>
      <c r="F205" s="28" t="s">
        <v>351</v>
      </c>
      <c r="G205" s="31" t="s">
        <v>757</v>
      </c>
    </row>
    <row r="206" spans="1:7" ht="26.4">
      <c r="A206" s="239">
        <f t="shared" ref="A206:A215" si="3">A205+1</f>
        <v>196</v>
      </c>
      <c r="B206" s="30">
        <v>1070004</v>
      </c>
      <c r="C206" s="32" t="s">
        <v>840</v>
      </c>
      <c r="D206" s="1341">
        <v>0</v>
      </c>
      <c r="E206" s="132" t="s">
        <v>1585</v>
      </c>
      <c r="F206" s="28" t="s">
        <v>352</v>
      </c>
      <c r="G206" s="31" t="s">
        <v>353</v>
      </c>
    </row>
    <row r="207" spans="1:7">
      <c r="A207" s="239">
        <f t="shared" si="3"/>
        <v>197</v>
      </c>
      <c r="B207" s="30">
        <v>1070004</v>
      </c>
      <c r="C207" s="32" t="s">
        <v>841</v>
      </c>
      <c r="D207" s="1341">
        <v>0</v>
      </c>
      <c r="E207" s="132" t="s">
        <v>1585</v>
      </c>
      <c r="F207" s="28" t="s">
        <v>354</v>
      </c>
      <c r="G207" s="31" t="s">
        <v>186</v>
      </c>
    </row>
    <row r="208" spans="1:7">
      <c r="A208" s="239">
        <f t="shared" si="3"/>
        <v>198</v>
      </c>
      <c r="B208" s="30">
        <v>1070004</v>
      </c>
      <c r="C208" s="32" t="s">
        <v>842</v>
      </c>
      <c r="D208" s="1341">
        <v>0</v>
      </c>
      <c r="E208" s="132" t="s">
        <v>1585</v>
      </c>
      <c r="F208" s="28" t="s">
        <v>355</v>
      </c>
      <c r="G208" s="31" t="s">
        <v>181</v>
      </c>
    </row>
    <row r="209" spans="1:7" ht="26.4">
      <c r="A209" s="239">
        <f t="shared" si="3"/>
        <v>199</v>
      </c>
      <c r="B209" s="30">
        <v>1070004</v>
      </c>
      <c r="C209" s="32" t="s">
        <v>843</v>
      </c>
      <c r="D209" s="1341">
        <v>0</v>
      </c>
      <c r="E209" s="132" t="s">
        <v>1585</v>
      </c>
      <c r="F209" s="28" t="s">
        <v>1598</v>
      </c>
      <c r="G209" s="31" t="s">
        <v>765</v>
      </c>
    </row>
    <row r="210" spans="1:7" ht="26.4">
      <c r="A210" s="239">
        <f t="shared" si="3"/>
        <v>200</v>
      </c>
      <c r="B210" s="30">
        <v>1070004</v>
      </c>
      <c r="C210" s="32" t="s">
        <v>844</v>
      </c>
      <c r="D210" s="1341">
        <v>0</v>
      </c>
      <c r="E210" s="132" t="s">
        <v>1585</v>
      </c>
      <c r="F210" s="28" t="s">
        <v>1599</v>
      </c>
      <c r="G210" s="31" t="s">
        <v>758</v>
      </c>
    </row>
    <row r="211" spans="1:7">
      <c r="A211" s="239">
        <f t="shared" si="3"/>
        <v>201</v>
      </c>
      <c r="B211" s="30">
        <v>1070004</v>
      </c>
      <c r="C211" s="32" t="s">
        <v>845</v>
      </c>
      <c r="D211" s="1341">
        <v>0</v>
      </c>
      <c r="E211" s="132" t="s">
        <v>1585</v>
      </c>
      <c r="F211" s="28" t="s">
        <v>1070</v>
      </c>
      <c r="G211" s="31" t="s">
        <v>187</v>
      </c>
    </row>
    <row r="212" spans="1:7" ht="15.6" customHeight="1">
      <c r="A212" s="239">
        <f t="shared" si="3"/>
        <v>202</v>
      </c>
      <c r="B212" s="30">
        <v>1070004</v>
      </c>
      <c r="C212" s="32" t="s">
        <v>846</v>
      </c>
      <c r="D212" s="1341">
        <v>0</v>
      </c>
      <c r="E212" s="132" t="s">
        <v>1585</v>
      </c>
      <c r="F212" s="28" t="s">
        <v>1071</v>
      </c>
      <c r="G212" s="31" t="s">
        <v>612</v>
      </c>
    </row>
    <row r="213" spans="1:7">
      <c r="A213" s="239">
        <f t="shared" si="3"/>
        <v>203</v>
      </c>
      <c r="B213" s="30">
        <v>1070004</v>
      </c>
      <c r="C213" s="32" t="s">
        <v>847</v>
      </c>
      <c r="D213" s="1341">
        <v>0</v>
      </c>
      <c r="E213" s="132" t="s">
        <v>1585</v>
      </c>
      <c r="F213" s="28" t="s">
        <v>1072</v>
      </c>
      <c r="G213" s="31" t="s">
        <v>1617</v>
      </c>
    </row>
    <row r="214" spans="1:7">
      <c r="A214" s="239">
        <f t="shared" si="3"/>
        <v>204</v>
      </c>
      <c r="B214" s="30">
        <v>1070004</v>
      </c>
      <c r="C214" s="32" t="s">
        <v>848</v>
      </c>
      <c r="D214" s="1341">
        <v>0</v>
      </c>
      <c r="E214" s="132" t="s">
        <v>1585</v>
      </c>
      <c r="F214" s="28" t="s">
        <v>1618</v>
      </c>
      <c r="G214" s="31" t="s">
        <v>1619</v>
      </c>
    </row>
    <row r="215" spans="1:7" ht="26.4">
      <c r="A215" s="239">
        <f t="shared" si="3"/>
        <v>205</v>
      </c>
      <c r="B215" s="30">
        <v>1070004</v>
      </c>
      <c r="C215" s="32" t="s">
        <v>849</v>
      </c>
      <c r="D215" s="1341">
        <v>0</v>
      </c>
      <c r="E215" s="132" t="s">
        <v>1585</v>
      </c>
      <c r="F215" s="28" t="s">
        <v>1620</v>
      </c>
      <c r="G215" s="31" t="s">
        <v>1621</v>
      </c>
    </row>
    <row r="216" spans="1:7" ht="15.6" customHeight="1">
      <c r="A216" s="239">
        <f t="shared" ref="A216:A226" si="4">A215+1</f>
        <v>206</v>
      </c>
      <c r="B216" s="30">
        <v>1070004</v>
      </c>
      <c r="C216" s="32" t="s">
        <v>409</v>
      </c>
      <c r="D216" s="1341">
        <v>6012.93</v>
      </c>
      <c r="E216" s="132" t="s">
        <v>1585</v>
      </c>
      <c r="F216" s="28" t="s">
        <v>876</v>
      </c>
      <c r="G216" s="31" t="s">
        <v>877</v>
      </c>
    </row>
    <row r="217" spans="1:7" ht="112.2" customHeight="1">
      <c r="A217" s="239">
        <f t="shared" si="4"/>
        <v>207</v>
      </c>
      <c r="B217" s="30">
        <v>1070002</v>
      </c>
      <c r="C217" s="32" t="s">
        <v>70</v>
      </c>
      <c r="D217" s="1341">
        <v>0</v>
      </c>
      <c r="E217" s="132" t="s">
        <v>1585</v>
      </c>
      <c r="F217" s="28" t="s">
        <v>465</v>
      </c>
      <c r="G217" s="31" t="s">
        <v>1444</v>
      </c>
    </row>
    <row r="218" spans="1:7" ht="33" customHeight="1">
      <c r="A218" s="239">
        <f t="shared" si="4"/>
        <v>208</v>
      </c>
      <c r="B218" s="30" t="s">
        <v>1159</v>
      </c>
      <c r="C218" s="32" t="s">
        <v>71</v>
      </c>
      <c r="D218" s="544">
        <v>0</v>
      </c>
      <c r="E218" s="132" t="s">
        <v>1534</v>
      </c>
      <c r="F218" s="28" t="s">
        <v>1648</v>
      </c>
      <c r="G218" s="31" t="s">
        <v>1638</v>
      </c>
    </row>
    <row r="219" spans="1:7" ht="49.5" customHeight="1">
      <c r="A219" s="317">
        <f t="shared" si="4"/>
        <v>209</v>
      </c>
      <c r="B219" s="36" t="s">
        <v>1159</v>
      </c>
      <c r="C219" s="1182" t="s">
        <v>275</v>
      </c>
      <c r="D219" s="544">
        <v>0</v>
      </c>
      <c r="E219" s="132" t="s">
        <v>1534</v>
      </c>
      <c r="F219" s="28" t="s">
        <v>1649</v>
      </c>
      <c r="G219" s="31" t="s">
        <v>1639</v>
      </c>
    </row>
    <row r="220" spans="1:7" ht="15.6" customHeight="1">
      <c r="A220" s="239">
        <f t="shared" si="4"/>
        <v>210</v>
      </c>
      <c r="B220" s="30" t="s">
        <v>1159</v>
      </c>
      <c r="C220" s="32" t="s">
        <v>1641</v>
      </c>
      <c r="D220" s="544">
        <v>0</v>
      </c>
      <c r="E220" s="132" t="s">
        <v>1585</v>
      </c>
      <c r="F220" s="28" t="s">
        <v>1650</v>
      </c>
      <c r="G220" s="31" t="s">
        <v>1640</v>
      </c>
    </row>
    <row r="221" spans="1:7" ht="15.6" customHeight="1">
      <c r="A221" s="239">
        <f t="shared" si="4"/>
        <v>211</v>
      </c>
      <c r="B221" s="30" t="s">
        <v>1159</v>
      </c>
      <c r="C221" s="32" t="s">
        <v>1642</v>
      </c>
      <c r="D221" s="544">
        <v>0</v>
      </c>
      <c r="E221" s="132" t="s">
        <v>1585</v>
      </c>
      <c r="F221" s="28" t="s">
        <v>1652</v>
      </c>
      <c r="G221" s="31" t="s">
        <v>1643</v>
      </c>
    </row>
    <row r="222" spans="1:7" ht="15.6" customHeight="1">
      <c r="A222" s="239">
        <f t="shared" si="4"/>
        <v>212</v>
      </c>
      <c r="B222" s="30" t="s">
        <v>1159</v>
      </c>
      <c r="C222" s="32" t="s">
        <v>1644</v>
      </c>
      <c r="D222" s="544">
        <v>0</v>
      </c>
      <c r="E222" s="132" t="s">
        <v>1585</v>
      </c>
      <c r="F222" s="28" t="s">
        <v>1651</v>
      </c>
      <c r="G222" s="31" t="s">
        <v>1645</v>
      </c>
    </row>
    <row r="223" spans="1:7" ht="15" customHeight="1">
      <c r="A223" s="239">
        <f t="shared" si="4"/>
        <v>213</v>
      </c>
      <c r="B223" s="30">
        <v>1070004</v>
      </c>
      <c r="C223" s="32" t="s">
        <v>1646</v>
      </c>
      <c r="D223" s="544">
        <v>0</v>
      </c>
      <c r="E223" s="132" t="s">
        <v>1585</v>
      </c>
      <c r="F223" s="28" t="s">
        <v>1654</v>
      </c>
      <c r="G223" s="31" t="s">
        <v>1655</v>
      </c>
    </row>
    <row r="224" spans="1:7" ht="15" customHeight="1">
      <c r="A224" s="317">
        <f t="shared" si="4"/>
        <v>214</v>
      </c>
      <c r="B224" s="30">
        <v>1070004</v>
      </c>
      <c r="C224" s="32" t="s">
        <v>1647</v>
      </c>
      <c r="D224" s="544">
        <v>0</v>
      </c>
      <c r="E224" s="132" t="s">
        <v>1585</v>
      </c>
      <c r="F224" s="28" t="s">
        <v>1653</v>
      </c>
      <c r="G224" s="31" t="s">
        <v>1656</v>
      </c>
    </row>
    <row r="225" spans="1:7" ht="15" customHeight="1">
      <c r="A225" s="317">
        <f t="shared" si="4"/>
        <v>215</v>
      </c>
      <c r="B225" s="30">
        <v>1070002</v>
      </c>
      <c r="C225" s="32" t="s">
        <v>1752</v>
      </c>
      <c r="D225" s="544">
        <v>0</v>
      </c>
      <c r="E225" s="132" t="s">
        <v>1585</v>
      </c>
      <c r="F225" s="28" t="s">
        <v>1753</v>
      </c>
      <c r="G225" s="31" t="s">
        <v>1754</v>
      </c>
    </row>
    <row r="226" spans="1:7" ht="55.5" customHeight="1">
      <c r="A226" s="317">
        <f t="shared" si="4"/>
        <v>216</v>
      </c>
      <c r="B226" s="624" t="s">
        <v>1159</v>
      </c>
      <c r="C226" s="32" t="s">
        <v>1750</v>
      </c>
      <c r="D226" s="544">
        <v>0</v>
      </c>
      <c r="E226" s="132" t="s">
        <v>1534</v>
      </c>
      <c r="F226" s="28" t="s">
        <v>1751</v>
      </c>
      <c r="G226" s="31" t="s">
        <v>1758</v>
      </c>
    </row>
    <row r="227" spans="1:7" ht="68.25" customHeight="1">
      <c r="A227" s="317">
        <f t="shared" ref="A227:A290" si="5">A226+1</f>
        <v>217</v>
      </c>
      <c r="B227" s="624" t="s">
        <v>1159</v>
      </c>
      <c r="C227" s="32" t="s">
        <v>1743</v>
      </c>
      <c r="D227" s="544">
        <v>0</v>
      </c>
      <c r="E227" s="132" t="s">
        <v>1534</v>
      </c>
      <c r="F227" s="28" t="s">
        <v>1749</v>
      </c>
      <c r="G227" s="31" t="s">
        <v>1756</v>
      </c>
    </row>
    <row r="228" spans="1:7" ht="26.25" customHeight="1">
      <c r="A228" s="317">
        <f t="shared" si="5"/>
        <v>218</v>
      </c>
      <c r="B228" s="624" t="s">
        <v>1791</v>
      </c>
      <c r="C228" s="32" t="s">
        <v>1792</v>
      </c>
      <c r="D228" s="544">
        <v>0</v>
      </c>
      <c r="E228" s="132" t="s">
        <v>1585</v>
      </c>
      <c r="F228" s="28" t="s">
        <v>1554</v>
      </c>
      <c r="G228" s="31" t="s">
        <v>1805</v>
      </c>
    </row>
    <row r="229" spans="1:7" ht="15" customHeight="1">
      <c r="A229" s="317">
        <f t="shared" si="5"/>
        <v>219</v>
      </c>
      <c r="B229" s="624" t="s">
        <v>1791</v>
      </c>
      <c r="C229" s="32" t="s">
        <v>1793</v>
      </c>
      <c r="D229" s="544">
        <v>0</v>
      </c>
      <c r="E229" s="132" t="s">
        <v>1585</v>
      </c>
      <c r="F229" s="28" t="s">
        <v>1794</v>
      </c>
      <c r="G229" s="31" t="s">
        <v>1795</v>
      </c>
    </row>
    <row r="230" spans="1:7" ht="15" customHeight="1">
      <c r="A230" s="317">
        <f t="shared" si="5"/>
        <v>220</v>
      </c>
      <c r="B230" s="624" t="s">
        <v>1791</v>
      </c>
      <c r="C230" s="32" t="s">
        <v>1796</v>
      </c>
      <c r="D230" s="544">
        <v>0</v>
      </c>
      <c r="E230" s="132" t="s">
        <v>1585</v>
      </c>
      <c r="F230" s="28" t="s">
        <v>1797</v>
      </c>
      <c r="G230" s="31" t="s">
        <v>1798</v>
      </c>
    </row>
    <row r="231" spans="1:7" ht="15" customHeight="1">
      <c r="A231" s="317">
        <f t="shared" si="5"/>
        <v>221</v>
      </c>
      <c r="B231" s="624" t="s">
        <v>1791</v>
      </c>
      <c r="C231" s="32" t="s">
        <v>1799</v>
      </c>
      <c r="D231" s="544">
        <v>0</v>
      </c>
      <c r="E231" s="132" t="s">
        <v>1585</v>
      </c>
      <c r="F231" s="28" t="s">
        <v>1800</v>
      </c>
      <c r="G231" s="31" t="s">
        <v>1801</v>
      </c>
    </row>
    <row r="232" spans="1:7" ht="15" customHeight="1">
      <c r="A232" s="317">
        <f t="shared" si="5"/>
        <v>222</v>
      </c>
      <c r="B232" s="624" t="s">
        <v>1791</v>
      </c>
      <c r="C232" s="32" t="s">
        <v>1802</v>
      </c>
      <c r="D232" s="544">
        <v>0</v>
      </c>
      <c r="E232" s="132" t="s">
        <v>1585</v>
      </c>
      <c r="F232" s="28" t="s">
        <v>1803</v>
      </c>
      <c r="G232" s="31" t="s">
        <v>1804</v>
      </c>
    </row>
    <row r="233" spans="1:7" ht="41.25" customHeight="1">
      <c r="A233" s="332">
        <f t="shared" si="5"/>
        <v>223</v>
      </c>
      <c r="B233" s="332" t="s">
        <v>1791</v>
      </c>
      <c r="C233" s="625" t="s">
        <v>1875</v>
      </c>
      <c r="D233" s="544">
        <v>0</v>
      </c>
      <c r="E233" s="332" t="s">
        <v>1902</v>
      </c>
      <c r="F233" s="622" t="s">
        <v>1884</v>
      </c>
      <c r="G233" s="626" t="s">
        <v>1893</v>
      </c>
    </row>
    <row r="234" spans="1:7" ht="43.5" customHeight="1">
      <c r="A234" s="332">
        <f t="shared" si="5"/>
        <v>224</v>
      </c>
      <c r="B234" s="332" t="s">
        <v>1791</v>
      </c>
      <c r="C234" s="625" t="s">
        <v>1876</v>
      </c>
      <c r="D234" s="544">
        <v>0</v>
      </c>
      <c r="E234" s="332" t="s">
        <v>1585</v>
      </c>
      <c r="F234" s="622" t="s">
        <v>1885</v>
      </c>
      <c r="G234" s="623" t="s">
        <v>1895</v>
      </c>
    </row>
    <row r="235" spans="1:7" ht="42" customHeight="1">
      <c r="A235" s="332">
        <f t="shared" si="5"/>
        <v>225</v>
      </c>
      <c r="B235" s="332" t="s">
        <v>1791</v>
      </c>
      <c r="C235" s="625" t="s">
        <v>1877</v>
      </c>
      <c r="D235" s="544">
        <v>0</v>
      </c>
      <c r="E235" s="332" t="s">
        <v>1585</v>
      </c>
      <c r="F235" s="622" t="s">
        <v>1886</v>
      </c>
      <c r="G235" s="623" t="s">
        <v>1896</v>
      </c>
    </row>
    <row r="236" spans="1:7" ht="15" customHeight="1">
      <c r="A236" s="332">
        <f t="shared" si="5"/>
        <v>226</v>
      </c>
      <c r="B236" s="332" t="s">
        <v>1791</v>
      </c>
      <c r="C236" s="625" t="s">
        <v>1878</v>
      </c>
      <c r="D236" s="544">
        <v>0</v>
      </c>
      <c r="E236" s="332" t="s">
        <v>1585</v>
      </c>
      <c r="F236" s="622" t="s">
        <v>1887</v>
      </c>
      <c r="G236" s="622" t="s">
        <v>1892</v>
      </c>
    </row>
    <row r="237" spans="1:7" ht="15" customHeight="1">
      <c r="A237" s="332">
        <f t="shared" si="5"/>
        <v>227</v>
      </c>
      <c r="B237" s="332" t="s">
        <v>1791</v>
      </c>
      <c r="C237" s="625" t="s">
        <v>1879</v>
      </c>
      <c r="D237" s="544">
        <v>0</v>
      </c>
      <c r="E237" s="332" t="s">
        <v>1585</v>
      </c>
      <c r="F237" s="622" t="s">
        <v>1888</v>
      </c>
      <c r="G237" s="622" t="s">
        <v>1891</v>
      </c>
    </row>
    <row r="238" spans="1:7" ht="15" customHeight="1">
      <c r="A238" s="332">
        <f t="shared" si="5"/>
        <v>228</v>
      </c>
      <c r="B238" s="332" t="s">
        <v>1791</v>
      </c>
      <c r="C238" s="625" t="s">
        <v>1880</v>
      </c>
      <c r="D238" s="544">
        <v>0</v>
      </c>
      <c r="E238" s="332" t="s">
        <v>1585</v>
      </c>
      <c r="F238" s="622" t="s">
        <v>1889</v>
      </c>
      <c r="G238" s="622" t="s">
        <v>1890</v>
      </c>
    </row>
    <row r="239" spans="1:7" ht="32.25" customHeight="1">
      <c r="A239" s="332">
        <f t="shared" si="5"/>
        <v>229</v>
      </c>
      <c r="B239" s="332" t="s">
        <v>1791</v>
      </c>
      <c r="C239" s="625" t="s">
        <v>1881</v>
      </c>
      <c r="D239" s="544">
        <v>0</v>
      </c>
      <c r="E239" s="332" t="s">
        <v>1585</v>
      </c>
      <c r="F239" s="623" t="s">
        <v>1899</v>
      </c>
      <c r="G239" s="623" t="s">
        <v>1898</v>
      </c>
    </row>
    <row r="240" spans="1:7" ht="41.25" customHeight="1">
      <c r="A240" s="332">
        <f t="shared" si="5"/>
        <v>230</v>
      </c>
      <c r="B240" s="332" t="s">
        <v>1791</v>
      </c>
      <c r="C240" s="625" t="s">
        <v>1882</v>
      </c>
      <c r="D240" s="544">
        <v>0</v>
      </c>
      <c r="E240" s="332" t="s">
        <v>1585</v>
      </c>
      <c r="F240" s="623" t="s">
        <v>1900</v>
      </c>
      <c r="G240" s="623" t="s">
        <v>1894</v>
      </c>
    </row>
    <row r="241" spans="1:7" ht="42" customHeight="1">
      <c r="A241" s="1183">
        <f t="shared" si="5"/>
        <v>231</v>
      </c>
      <c r="B241" s="1183" t="s">
        <v>1791</v>
      </c>
      <c r="C241" s="1184" t="s">
        <v>1883</v>
      </c>
      <c r="D241" s="544">
        <v>0</v>
      </c>
      <c r="E241" s="332" t="s">
        <v>1585</v>
      </c>
      <c r="F241" s="622" t="s">
        <v>1901</v>
      </c>
      <c r="G241" s="623" t="s">
        <v>1897</v>
      </c>
    </row>
    <row r="242" spans="1:7" ht="24" customHeight="1">
      <c r="A242" s="332">
        <f t="shared" si="5"/>
        <v>232</v>
      </c>
      <c r="B242" s="332">
        <v>10100</v>
      </c>
      <c r="C242" s="625" t="s">
        <v>2366</v>
      </c>
      <c r="D242" s="544">
        <v>0</v>
      </c>
      <c r="E242" s="332" t="s">
        <v>1534</v>
      </c>
      <c r="F242" s="622" t="s">
        <v>2355</v>
      </c>
      <c r="G242" s="623" t="s">
        <v>2367</v>
      </c>
    </row>
    <row r="243" spans="1:7" ht="33.75" customHeight="1">
      <c r="A243" s="332">
        <f t="shared" si="5"/>
        <v>233</v>
      </c>
      <c r="B243" s="332">
        <v>10100</v>
      </c>
      <c r="C243" s="625" t="s">
        <v>2368</v>
      </c>
      <c r="D243" s="544">
        <v>0</v>
      </c>
      <c r="E243" s="332" t="s">
        <v>1534</v>
      </c>
      <c r="F243" s="622" t="s">
        <v>2358</v>
      </c>
      <c r="G243" s="623" t="s">
        <v>2359</v>
      </c>
    </row>
    <row r="244" spans="1:7" ht="33.75" customHeight="1">
      <c r="A244" s="332">
        <f t="shared" si="5"/>
        <v>234</v>
      </c>
      <c r="B244" s="332">
        <v>10100</v>
      </c>
      <c r="C244" s="625" t="s">
        <v>2369</v>
      </c>
      <c r="D244" s="544">
        <v>0</v>
      </c>
      <c r="E244" s="332" t="s">
        <v>1585</v>
      </c>
      <c r="F244" s="622" t="s">
        <v>2361</v>
      </c>
      <c r="G244" s="623" t="s">
        <v>2370</v>
      </c>
    </row>
    <row r="245" spans="1:7" ht="27" customHeight="1">
      <c r="A245" s="332">
        <f t="shared" si="5"/>
        <v>235</v>
      </c>
      <c r="B245" s="332">
        <v>10100</v>
      </c>
      <c r="C245" s="625" t="s">
        <v>2371</v>
      </c>
      <c r="D245" s="544">
        <v>0</v>
      </c>
      <c r="E245" s="332" t="s">
        <v>1585</v>
      </c>
      <c r="F245" s="622" t="s">
        <v>2372</v>
      </c>
      <c r="G245" s="623" t="s">
        <v>2373</v>
      </c>
    </row>
    <row r="246" spans="1:7" ht="27" customHeight="1">
      <c r="A246" s="332">
        <f t="shared" si="5"/>
        <v>236</v>
      </c>
      <c r="B246" s="332">
        <v>10100</v>
      </c>
      <c r="C246" s="625" t="s">
        <v>2374</v>
      </c>
      <c r="D246" s="544">
        <v>0</v>
      </c>
      <c r="E246" s="332" t="s">
        <v>1534</v>
      </c>
      <c r="F246" s="622" t="s">
        <v>2375</v>
      </c>
      <c r="G246" s="623" t="s">
        <v>2376</v>
      </c>
    </row>
    <row r="247" spans="1:7" ht="24" customHeight="1">
      <c r="A247" s="757">
        <f t="shared" si="5"/>
        <v>237</v>
      </c>
      <c r="B247" s="757">
        <v>10100</v>
      </c>
      <c r="C247" s="1132" t="s">
        <v>2444</v>
      </c>
      <c r="D247" s="544">
        <v>0</v>
      </c>
      <c r="E247" s="757" t="s">
        <v>1534</v>
      </c>
      <c r="F247" s="1125" t="s">
        <v>2478</v>
      </c>
      <c r="G247" s="1131" t="s">
        <v>2461</v>
      </c>
    </row>
    <row r="248" spans="1:7" ht="91.5" customHeight="1">
      <c r="A248" s="757">
        <f t="shared" si="5"/>
        <v>238</v>
      </c>
      <c r="B248" s="757">
        <v>10100</v>
      </c>
      <c r="C248" s="1132" t="s">
        <v>2442</v>
      </c>
      <c r="D248" s="544">
        <v>0</v>
      </c>
      <c r="E248" s="757" t="s">
        <v>1585</v>
      </c>
      <c r="F248" s="1125" t="s">
        <v>2456</v>
      </c>
      <c r="G248" s="1131" t="s">
        <v>2499</v>
      </c>
    </row>
    <row r="249" spans="1:7" ht="54.75" customHeight="1">
      <c r="A249" s="757">
        <f t="shared" si="5"/>
        <v>239</v>
      </c>
      <c r="B249" s="757">
        <v>10100</v>
      </c>
      <c r="C249" s="1132" t="s">
        <v>2445</v>
      </c>
      <c r="D249" s="544">
        <v>0</v>
      </c>
      <c r="E249" s="757" t="s">
        <v>1585</v>
      </c>
      <c r="F249" s="1125" t="s">
        <v>2457</v>
      </c>
      <c r="G249" s="1131" t="s">
        <v>2498</v>
      </c>
    </row>
    <row r="250" spans="1:7" ht="24" customHeight="1">
      <c r="A250" s="757">
        <f t="shared" si="5"/>
        <v>240</v>
      </c>
      <c r="B250" s="757">
        <v>10100</v>
      </c>
      <c r="C250" s="1132" t="s">
        <v>2446</v>
      </c>
      <c r="D250" s="544">
        <v>0</v>
      </c>
      <c r="E250" s="757" t="s">
        <v>1585</v>
      </c>
      <c r="F250" s="1125" t="s">
        <v>2465</v>
      </c>
      <c r="G250" s="1131" t="s">
        <v>2497</v>
      </c>
    </row>
    <row r="251" spans="1:7" ht="34.5" customHeight="1">
      <c r="A251" s="757">
        <f t="shared" si="5"/>
        <v>241</v>
      </c>
      <c r="B251" s="757">
        <v>10100</v>
      </c>
      <c r="C251" s="1178" t="s">
        <v>2447</v>
      </c>
      <c r="D251" s="544">
        <v>0</v>
      </c>
      <c r="E251" s="757" t="s">
        <v>1585</v>
      </c>
      <c r="F251" s="1125" t="s">
        <v>2463</v>
      </c>
      <c r="G251" s="1131" t="s">
        <v>2496</v>
      </c>
    </row>
    <row r="252" spans="1:7" ht="26.25" customHeight="1">
      <c r="A252" s="757">
        <f t="shared" si="5"/>
        <v>242</v>
      </c>
      <c r="B252" s="757">
        <v>10100</v>
      </c>
      <c r="C252" s="1132" t="s">
        <v>2448</v>
      </c>
      <c r="D252" s="544">
        <v>0</v>
      </c>
      <c r="E252" s="757" t="s">
        <v>1585</v>
      </c>
      <c r="F252" s="1125" t="s">
        <v>2458</v>
      </c>
      <c r="G252" s="1131" t="s">
        <v>2451</v>
      </c>
    </row>
    <row r="253" spans="1:7" ht="33" customHeight="1">
      <c r="A253" s="757">
        <f t="shared" si="5"/>
        <v>243</v>
      </c>
      <c r="B253" s="757">
        <v>10100</v>
      </c>
      <c r="C253" s="1132" t="s">
        <v>2449</v>
      </c>
      <c r="D253" s="544">
        <v>0</v>
      </c>
      <c r="E253" s="757" t="s">
        <v>1585</v>
      </c>
      <c r="F253" s="1125" t="s">
        <v>2464</v>
      </c>
      <c r="G253" s="1131" t="s">
        <v>2495</v>
      </c>
    </row>
    <row r="254" spans="1:7" ht="26.25" customHeight="1">
      <c r="A254" s="757">
        <f t="shared" si="5"/>
        <v>244</v>
      </c>
      <c r="B254" s="757">
        <v>10100</v>
      </c>
      <c r="C254" s="1132" t="s">
        <v>2450</v>
      </c>
      <c r="D254" s="544">
        <v>0</v>
      </c>
      <c r="E254" s="757" t="s">
        <v>1585</v>
      </c>
      <c r="F254" s="1125" t="s">
        <v>2462</v>
      </c>
      <c r="G254" s="1131" t="s">
        <v>2494</v>
      </c>
    </row>
    <row r="255" spans="1:7" ht="33.75" customHeight="1">
      <c r="A255" s="757">
        <f t="shared" si="5"/>
        <v>245</v>
      </c>
      <c r="B255" s="757">
        <v>10100</v>
      </c>
      <c r="C255" s="1125" t="s">
        <v>2492</v>
      </c>
      <c r="D255" s="544">
        <v>0</v>
      </c>
      <c r="E255" s="757" t="s">
        <v>1585</v>
      </c>
      <c r="F255" s="1125" t="s">
        <v>2452</v>
      </c>
      <c r="G255" s="1131" t="s">
        <v>2493</v>
      </c>
    </row>
    <row r="256" spans="1:7" ht="33.75" customHeight="1">
      <c r="A256" s="757">
        <f t="shared" si="5"/>
        <v>246</v>
      </c>
      <c r="B256" s="757">
        <v>10100</v>
      </c>
      <c r="C256" s="1125" t="s">
        <v>2500</v>
      </c>
      <c r="D256" s="544">
        <v>0</v>
      </c>
      <c r="E256" s="757" t="s">
        <v>1585</v>
      </c>
      <c r="F256" s="1131" t="s">
        <v>2517</v>
      </c>
      <c r="G256" s="1131" t="s">
        <v>2518</v>
      </c>
    </row>
    <row r="257" spans="1:7" ht="33.75" customHeight="1">
      <c r="A257" s="757">
        <f t="shared" si="5"/>
        <v>247</v>
      </c>
      <c r="B257" s="757">
        <v>10100</v>
      </c>
      <c r="C257" s="1125" t="s">
        <v>2502</v>
      </c>
      <c r="D257" s="544">
        <v>0</v>
      </c>
      <c r="E257" s="757" t="s">
        <v>1585</v>
      </c>
      <c r="F257" s="1125" t="s">
        <v>2501</v>
      </c>
      <c r="G257" s="1131" t="s">
        <v>2519</v>
      </c>
    </row>
    <row r="258" spans="1:7" ht="33.75" customHeight="1">
      <c r="A258" s="757">
        <f t="shared" si="5"/>
        <v>248</v>
      </c>
      <c r="B258" s="757">
        <v>10100</v>
      </c>
      <c r="C258" s="1125" t="s">
        <v>2503</v>
      </c>
      <c r="D258" s="544">
        <v>0</v>
      </c>
      <c r="E258" s="757" t="s">
        <v>1585</v>
      </c>
      <c r="F258" s="1125" t="s">
        <v>2508</v>
      </c>
      <c r="G258" s="1131" t="s">
        <v>2520</v>
      </c>
    </row>
    <row r="259" spans="1:7" ht="33.75" customHeight="1">
      <c r="A259" s="757">
        <f t="shared" si="5"/>
        <v>249</v>
      </c>
      <c r="B259" s="757">
        <v>10100</v>
      </c>
      <c r="C259" s="1125" t="s">
        <v>2504</v>
      </c>
      <c r="D259" s="1341">
        <v>0</v>
      </c>
      <c r="E259" s="757" t="s">
        <v>1585</v>
      </c>
      <c r="F259" s="1131" t="s">
        <v>2507</v>
      </c>
      <c r="G259" s="1131" t="s">
        <v>2521</v>
      </c>
    </row>
    <row r="260" spans="1:7" ht="33.75" customHeight="1">
      <c r="A260" s="757">
        <f t="shared" si="5"/>
        <v>250</v>
      </c>
      <c r="B260" s="757">
        <v>10100</v>
      </c>
      <c r="C260" s="1125" t="s">
        <v>2505</v>
      </c>
      <c r="D260" s="1341">
        <v>0</v>
      </c>
      <c r="E260" s="757" t="s">
        <v>1585</v>
      </c>
      <c r="F260" s="1125" t="s">
        <v>2506</v>
      </c>
      <c r="G260" s="1131" t="s">
        <v>2522</v>
      </c>
    </row>
    <row r="261" spans="1:7" ht="33.75" customHeight="1">
      <c r="A261" s="757">
        <f t="shared" si="5"/>
        <v>251</v>
      </c>
      <c r="B261" s="757">
        <v>10100</v>
      </c>
      <c r="C261" s="1125" t="s">
        <v>2509</v>
      </c>
      <c r="D261" s="1341">
        <v>792692.26</v>
      </c>
      <c r="E261" s="757" t="s">
        <v>1585</v>
      </c>
      <c r="F261" s="1125" t="s">
        <v>2513</v>
      </c>
      <c r="G261" s="1131" t="s">
        <v>2523</v>
      </c>
    </row>
    <row r="262" spans="1:7" ht="33.75" customHeight="1">
      <c r="A262" s="757">
        <f t="shared" si="5"/>
        <v>252</v>
      </c>
      <c r="B262" s="757">
        <v>10100</v>
      </c>
      <c r="C262" s="1125" t="s">
        <v>2510</v>
      </c>
      <c r="D262" s="1341">
        <v>0</v>
      </c>
      <c r="E262" s="757" t="s">
        <v>1585</v>
      </c>
      <c r="F262" s="1125" t="s">
        <v>2514</v>
      </c>
      <c r="G262" s="1131" t="s">
        <v>2524</v>
      </c>
    </row>
    <row r="263" spans="1:7" ht="33.75" customHeight="1">
      <c r="A263" s="757">
        <f t="shared" si="5"/>
        <v>253</v>
      </c>
      <c r="B263" s="757">
        <v>10100</v>
      </c>
      <c r="C263" s="1125" t="s">
        <v>2511</v>
      </c>
      <c r="D263" s="1341">
        <v>0</v>
      </c>
      <c r="E263" s="757" t="s">
        <v>1585</v>
      </c>
      <c r="F263" s="1125" t="s">
        <v>2516</v>
      </c>
      <c r="G263" s="1131" t="s">
        <v>2525</v>
      </c>
    </row>
    <row r="264" spans="1:7" ht="33.75" customHeight="1">
      <c r="A264" s="757">
        <f t="shared" si="5"/>
        <v>254</v>
      </c>
      <c r="B264" s="757">
        <v>10100</v>
      </c>
      <c r="C264" s="1125" t="s">
        <v>2512</v>
      </c>
      <c r="D264" s="544">
        <v>0</v>
      </c>
      <c r="E264" s="757" t="s">
        <v>1585</v>
      </c>
      <c r="F264" s="1131" t="s">
        <v>2515</v>
      </c>
      <c r="G264" s="1131" t="s">
        <v>2526</v>
      </c>
    </row>
    <row r="265" spans="1:7" ht="33.75" customHeight="1">
      <c r="A265" s="757">
        <f t="shared" si="5"/>
        <v>255</v>
      </c>
      <c r="B265" s="757">
        <v>10100</v>
      </c>
      <c r="C265" s="1125" t="s">
        <v>2536</v>
      </c>
      <c r="D265" s="544">
        <v>0</v>
      </c>
      <c r="E265" s="757" t="s">
        <v>1585</v>
      </c>
      <c r="F265" s="1131" t="s">
        <v>2551</v>
      </c>
      <c r="G265" s="1131" t="s">
        <v>2552</v>
      </c>
    </row>
    <row r="266" spans="1:7" ht="24" customHeight="1">
      <c r="A266" s="757">
        <f t="shared" si="5"/>
        <v>256</v>
      </c>
      <c r="B266" s="757">
        <v>10100</v>
      </c>
      <c r="C266" s="1125" t="s">
        <v>2553</v>
      </c>
      <c r="D266" s="544">
        <v>0</v>
      </c>
      <c r="E266" s="757" t="s">
        <v>1585</v>
      </c>
      <c r="F266" s="1131" t="s">
        <v>2554</v>
      </c>
      <c r="G266" s="1131" t="s">
        <v>2555</v>
      </c>
    </row>
    <row r="267" spans="1:7" ht="24" customHeight="1">
      <c r="A267" s="757">
        <f t="shared" si="5"/>
        <v>257</v>
      </c>
      <c r="B267" s="757">
        <v>10100</v>
      </c>
      <c r="C267" s="1125" t="s">
        <v>2556</v>
      </c>
      <c r="D267" s="544">
        <v>0</v>
      </c>
      <c r="E267" s="757" t="s">
        <v>1585</v>
      </c>
      <c r="F267" s="1131" t="s">
        <v>2557</v>
      </c>
      <c r="G267" s="1131" t="s">
        <v>2558</v>
      </c>
    </row>
    <row r="268" spans="1:7" ht="24" customHeight="1">
      <c r="A268" s="757">
        <f t="shared" si="5"/>
        <v>258</v>
      </c>
      <c r="B268" s="757">
        <v>10100</v>
      </c>
      <c r="C268" s="1125" t="s">
        <v>2659</v>
      </c>
      <c r="D268" s="544">
        <v>0</v>
      </c>
      <c r="E268" s="757" t="s">
        <v>1585</v>
      </c>
      <c r="F268" s="1131" t="s">
        <v>2661</v>
      </c>
      <c r="G268" s="1131" t="s">
        <v>2661</v>
      </c>
    </row>
    <row r="269" spans="1:7" ht="24" customHeight="1">
      <c r="A269" s="757">
        <f t="shared" si="5"/>
        <v>259</v>
      </c>
      <c r="B269" s="757">
        <v>10100</v>
      </c>
      <c r="C269" s="1125" t="s">
        <v>2660</v>
      </c>
      <c r="D269" s="544">
        <v>0</v>
      </c>
      <c r="E269" s="757" t="s">
        <v>1585</v>
      </c>
      <c r="F269" s="1131" t="s">
        <v>2662</v>
      </c>
      <c r="G269" s="1131" t="s">
        <v>2663</v>
      </c>
    </row>
    <row r="270" spans="1:7" ht="24" customHeight="1">
      <c r="A270" s="757">
        <f t="shared" si="5"/>
        <v>260</v>
      </c>
      <c r="B270" s="757">
        <v>10100</v>
      </c>
      <c r="C270" s="1125" t="s">
        <v>2709</v>
      </c>
      <c r="D270" s="544">
        <v>0</v>
      </c>
      <c r="E270" s="757" t="s">
        <v>1585</v>
      </c>
      <c r="F270" s="1131" t="s">
        <v>2733</v>
      </c>
      <c r="G270" s="1131" t="s">
        <v>2758</v>
      </c>
    </row>
    <row r="271" spans="1:7" ht="24" customHeight="1">
      <c r="A271" s="757">
        <f t="shared" si="5"/>
        <v>261</v>
      </c>
      <c r="B271" s="757">
        <v>10100</v>
      </c>
      <c r="C271" s="1125" t="s">
        <v>2710</v>
      </c>
      <c r="D271" s="544">
        <v>0</v>
      </c>
      <c r="E271" s="757" t="s">
        <v>1585</v>
      </c>
      <c r="F271" s="1131" t="s">
        <v>2734</v>
      </c>
      <c r="G271" s="1131" t="s">
        <v>2737</v>
      </c>
    </row>
    <row r="272" spans="1:7" ht="24" customHeight="1">
      <c r="A272" s="757">
        <f t="shared" si="5"/>
        <v>262</v>
      </c>
      <c r="B272" s="757">
        <v>10100</v>
      </c>
      <c r="C272" s="1125" t="s">
        <v>2711</v>
      </c>
      <c r="D272" s="544">
        <v>0</v>
      </c>
      <c r="E272" s="757" t="s">
        <v>1585</v>
      </c>
      <c r="F272" s="1131" t="s">
        <v>2734</v>
      </c>
      <c r="G272" s="1131" t="s">
        <v>2738</v>
      </c>
    </row>
    <row r="273" spans="1:7" ht="24" customHeight="1">
      <c r="A273" s="757">
        <f t="shared" si="5"/>
        <v>263</v>
      </c>
      <c r="B273" s="757">
        <v>10100</v>
      </c>
      <c r="C273" s="1125" t="s">
        <v>2712</v>
      </c>
      <c r="D273" s="544">
        <v>0</v>
      </c>
      <c r="E273" s="757" t="s">
        <v>1585</v>
      </c>
      <c r="F273" s="1131" t="s">
        <v>2734</v>
      </c>
      <c r="G273" s="1131" t="s">
        <v>2739</v>
      </c>
    </row>
    <row r="274" spans="1:7" ht="42" customHeight="1">
      <c r="A274" s="757">
        <f t="shared" si="5"/>
        <v>264</v>
      </c>
      <c r="B274" s="757">
        <v>10100</v>
      </c>
      <c r="C274" s="1125" t="s">
        <v>2549</v>
      </c>
      <c r="D274" s="544">
        <v>0</v>
      </c>
      <c r="E274" s="757" t="s">
        <v>1585</v>
      </c>
      <c r="F274" s="1131" t="s">
        <v>2759</v>
      </c>
      <c r="G274" s="1131" t="s">
        <v>2565</v>
      </c>
    </row>
    <row r="275" spans="1:7" ht="24" customHeight="1">
      <c r="A275" s="757">
        <f t="shared" si="5"/>
        <v>265</v>
      </c>
      <c r="B275" s="757">
        <v>10100</v>
      </c>
      <c r="C275" s="1125" t="s">
        <v>2713</v>
      </c>
      <c r="D275" s="544">
        <v>0</v>
      </c>
      <c r="E275" s="757" t="s">
        <v>1585</v>
      </c>
      <c r="F275" s="1131" t="s">
        <v>2733</v>
      </c>
      <c r="G275" s="1131" t="s">
        <v>2740</v>
      </c>
    </row>
    <row r="276" spans="1:7" ht="24" customHeight="1">
      <c r="A276" s="757">
        <f t="shared" si="5"/>
        <v>266</v>
      </c>
      <c r="B276" s="757">
        <v>10100</v>
      </c>
      <c r="C276" s="1125" t="s">
        <v>2714</v>
      </c>
      <c r="D276" s="544">
        <v>0</v>
      </c>
      <c r="E276" s="757" t="s">
        <v>1585</v>
      </c>
      <c r="F276" s="1131" t="s">
        <v>2734</v>
      </c>
      <c r="G276" s="1131" t="s">
        <v>2760</v>
      </c>
    </row>
    <row r="277" spans="1:7" ht="24" customHeight="1">
      <c r="A277" s="757">
        <f t="shared" si="5"/>
        <v>267</v>
      </c>
      <c r="B277" s="757">
        <v>10100</v>
      </c>
      <c r="C277" s="1132" t="s">
        <v>2715</v>
      </c>
      <c r="D277" s="544">
        <v>0</v>
      </c>
      <c r="E277" s="757" t="s">
        <v>1585</v>
      </c>
      <c r="F277" s="1131" t="s">
        <v>2735</v>
      </c>
      <c r="G277" s="1131" t="s">
        <v>2761</v>
      </c>
    </row>
    <row r="278" spans="1:7" ht="39.6">
      <c r="A278" s="757">
        <f t="shared" si="5"/>
        <v>268</v>
      </c>
      <c r="B278" s="757">
        <v>10100</v>
      </c>
      <c r="C278" s="1132" t="s">
        <v>2718</v>
      </c>
      <c r="D278" s="544">
        <v>0</v>
      </c>
      <c r="E278" s="757" t="s">
        <v>1585</v>
      </c>
      <c r="F278" s="1131" t="s">
        <v>2746</v>
      </c>
      <c r="G278" s="1131" t="s">
        <v>2748</v>
      </c>
    </row>
    <row r="279" spans="1:7" ht="26.4">
      <c r="A279" s="757">
        <f t="shared" si="5"/>
        <v>269</v>
      </c>
      <c r="B279" s="757">
        <v>10100</v>
      </c>
      <c r="C279" s="1132" t="s">
        <v>2719</v>
      </c>
      <c r="D279" s="544">
        <v>0</v>
      </c>
      <c r="E279" s="757" t="s">
        <v>1585</v>
      </c>
      <c r="F279" s="1131" t="s">
        <v>2745</v>
      </c>
      <c r="G279" s="1131" t="s">
        <v>2749</v>
      </c>
    </row>
    <row r="280" spans="1:7" ht="26.4">
      <c r="A280" s="757">
        <f>A279+1</f>
        <v>270</v>
      </c>
      <c r="B280" s="757">
        <v>10100</v>
      </c>
      <c r="C280" s="1132" t="s">
        <v>2736</v>
      </c>
      <c r="D280" s="544">
        <v>0</v>
      </c>
      <c r="E280" s="757" t="s">
        <v>1585</v>
      </c>
      <c r="F280" s="1131" t="s">
        <v>2744</v>
      </c>
      <c r="G280" s="1131" t="s">
        <v>2750</v>
      </c>
    </row>
    <row r="281" spans="1:7" ht="26.4">
      <c r="A281" s="757">
        <f>A280+1</f>
        <v>271</v>
      </c>
      <c r="B281" s="757">
        <v>10100</v>
      </c>
      <c r="C281" s="1132" t="s">
        <v>2720</v>
      </c>
      <c r="D281" s="544">
        <v>0</v>
      </c>
      <c r="E281" s="757" t="s">
        <v>1585</v>
      </c>
      <c r="F281" s="1131" t="s">
        <v>2727</v>
      </c>
      <c r="G281" s="1131" t="s">
        <v>2751</v>
      </c>
    </row>
    <row r="282" spans="1:7" ht="26.4">
      <c r="A282" s="757">
        <f t="shared" si="5"/>
        <v>272</v>
      </c>
      <c r="B282" s="757">
        <v>10100</v>
      </c>
      <c r="C282" s="1132" t="s">
        <v>2721</v>
      </c>
      <c r="D282" s="1341">
        <v>0</v>
      </c>
      <c r="E282" s="757" t="s">
        <v>1585</v>
      </c>
      <c r="F282" s="1131" t="s">
        <v>2728</v>
      </c>
      <c r="G282" s="1131" t="s">
        <v>2752</v>
      </c>
    </row>
    <row r="283" spans="1:7" ht="24" customHeight="1">
      <c r="A283" s="757">
        <f t="shared" si="5"/>
        <v>273</v>
      </c>
      <c r="B283" s="757">
        <v>10100</v>
      </c>
      <c r="C283" s="1132" t="s">
        <v>2722</v>
      </c>
      <c r="D283" s="1341">
        <v>7185149.8899999997</v>
      </c>
      <c r="E283" s="757" t="s">
        <v>1585</v>
      </c>
      <c r="F283" s="1131" t="s">
        <v>2729</v>
      </c>
      <c r="G283" s="1131" t="s">
        <v>2753</v>
      </c>
    </row>
    <row r="284" spans="1:7" ht="29.4" customHeight="1">
      <c r="A284" s="757">
        <f t="shared" si="5"/>
        <v>274</v>
      </c>
      <c r="B284" s="757">
        <v>10100</v>
      </c>
      <c r="C284" s="1132" t="s">
        <v>2723</v>
      </c>
      <c r="D284" s="1341">
        <v>0</v>
      </c>
      <c r="E284" s="757" t="s">
        <v>1585</v>
      </c>
      <c r="F284" s="1131" t="s">
        <v>2730</v>
      </c>
      <c r="G284" s="1131" t="s">
        <v>2754</v>
      </c>
    </row>
    <row r="285" spans="1:7" ht="26.4">
      <c r="A285" s="757">
        <f t="shared" si="5"/>
        <v>275</v>
      </c>
      <c r="B285" s="757">
        <v>10100</v>
      </c>
      <c r="C285" s="1132" t="s">
        <v>2724</v>
      </c>
      <c r="D285" s="1341">
        <v>0</v>
      </c>
      <c r="E285" s="757" t="s">
        <v>1585</v>
      </c>
      <c r="F285" s="1131" t="s">
        <v>2731</v>
      </c>
      <c r="G285" s="1131" t="s">
        <v>2755</v>
      </c>
    </row>
    <row r="286" spans="1:7" ht="26.4">
      <c r="A286" s="757">
        <f t="shared" si="5"/>
        <v>276</v>
      </c>
      <c r="B286" s="757">
        <v>10100</v>
      </c>
      <c r="C286" s="1132" t="s">
        <v>2725</v>
      </c>
      <c r="D286" s="1341">
        <v>0</v>
      </c>
      <c r="E286" s="757" t="s">
        <v>1585</v>
      </c>
      <c r="F286" s="1131" t="s">
        <v>2747</v>
      </c>
      <c r="G286" s="1131" t="s">
        <v>2756</v>
      </c>
    </row>
    <row r="287" spans="1:7" ht="26.4">
      <c r="A287" s="757">
        <f t="shared" si="5"/>
        <v>277</v>
      </c>
      <c r="B287" s="757">
        <v>10100</v>
      </c>
      <c r="C287" s="1132" t="s">
        <v>2726</v>
      </c>
      <c r="D287" s="1341">
        <v>0</v>
      </c>
      <c r="E287" s="757" t="s">
        <v>1585</v>
      </c>
      <c r="F287" s="1131" t="s">
        <v>2732</v>
      </c>
      <c r="G287" s="1131" t="s">
        <v>2757</v>
      </c>
    </row>
    <row r="288" spans="1:7" ht="33.6" customHeight="1">
      <c r="A288" s="757">
        <f t="shared" si="5"/>
        <v>278</v>
      </c>
      <c r="B288" s="757" t="s">
        <v>2786</v>
      </c>
      <c r="C288" s="1132" t="s">
        <v>2787</v>
      </c>
      <c r="D288" s="1341">
        <v>0</v>
      </c>
      <c r="E288" s="757" t="s">
        <v>1585</v>
      </c>
      <c r="F288" s="1131" t="s">
        <v>2866</v>
      </c>
      <c r="G288" s="1131" t="s">
        <v>2870</v>
      </c>
    </row>
    <row r="289" spans="1:7" ht="26.4">
      <c r="A289" s="757">
        <f t="shared" si="5"/>
        <v>279</v>
      </c>
      <c r="B289" s="757" t="s">
        <v>2786</v>
      </c>
      <c r="C289" s="1132" t="s">
        <v>2788</v>
      </c>
      <c r="D289" s="544">
        <v>0</v>
      </c>
      <c r="E289" s="757" t="s">
        <v>1585</v>
      </c>
      <c r="F289" s="1131" t="s">
        <v>2733</v>
      </c>
      <c r="G289" s="1131" t="s">
        <v>2871</v>
      </c>
    </row>
    <row r="290" spans="1:7" ht="26.4">
      <c r="A290" s="757">
        <f t="shared" si="5"/>
        <v>280</v>
      </c>
      <c r="B290" s="757" t="s">
        <v>2786</v>
      </c>
      <c r="C290" s="1132" t="s">
        <v>2789</v>
      </c>
      <c r="D290" s="544">
        <v>0</v>
      </c>
      <c r="E290" s="757" t="s">
        <v>1585</v>
      </c>
      <c r="F290" s="1131" t="s">
        <v>2735</v>
      </c>
      <c r="G290" s="1131" t="s">
        <v>2869</v>
      </c>
    </row>
    <row r="291" spans="1:7" ht="26.4">
      <c r="A291" s="757">
        <f t="shared" ref="A291:A318" si="6">A290+1</f>
        <v>281</v>
      </c>
      <c r="B291" s="757" t="s">
        <v>2786</v>
      </c>
      <c r="C291" s="1132" t="s">
        <v>2771</v>
      </c>
      <c r="D291" s="544">
        <v>0</v>
      </c>
      <c r="E291" s="757" t="s">
        <v>1585</v>
      </c>
      <c r="F291" s="1131" t="s">
        <v>2790</v>
      </c>
      <c r="G291" s="1131" t="s">
        <v>2878</v>
      </c>
    </row>
    <row r="292" spans="1:7" ht="52.8">
      <c r="A292" s="757">
        <f t="shared" si="6"/>
        <v>282</v>
      </c>
      <c r="B292" s="757" t="s">
        <v>2786</v>
      </c>
      <c r="C292" s="1132" t="s">
        <v>2772</v>
      </c>
      <c r="D292" s="544">
        <v>0</v>
      </c>
      <c r="E292" s="757" t="s">
        <v>1534</v>
      </c>
      <c r="F292" s="1131" t="s">
        <v>2791</v>
      </c>
      <c r="G292" s="1131" t="s">
        <v>2776</v>
      </c>
    </row>
    <row r="293" spans="1:7" ht="27.6" customHeight="1">
      <c r="A293" s="757">
        <f t="shared" si="6"/>
        <v>283</v>
      </c>
      <c r="B293" s="757">
        <v>107000</v>
      </c>
      <c r="C293" s="1132" t="s">
        <v>2792</v>
      </c>
      <c r="D293" s="1341">
        <v>0</v>
      </c>
      <c r="E293" s="757" t="s">
        <v>1585</v>
      </c>
      <c r="F293" s="1131" t="s">
        <v>2795</v>
      </c>
      <c r="G293" s="1131" t="s">
        <v>2864</v>
      </c>
    </row>
    <row r="294" spans="1:7" ht="26.4">
      <c r="A294" s="757">
        <f t="shared" si="6"/>
        <v>284</v>
      </c>
      <c r="B294" s="757">
        <v>107000</v>
      </c>
      <c r="C294" s="1132" t="s">
        <v>2793</v>
      </c>
      <c r="D294" s="1341">
        <v>0</v>
      </c>
      <c r="E294" s="757" t="s">
        <v>1585</v>
      </c>
      <c r="F294" s="1131" t="s">
        <v>2796</v>
      </c>
      <c r="G294" s="1131" t="s">
        <v>2865</v>
      </c>
    </row>
    <row r="295" spans="1:7">
      <c r="A295" s="757">
        <f t="shared" si="6"/>
        <v>285</v>
      </c>
      <c r="B295" s="757">
        <v>107000</v>
      </c>
      <c r="C295" s="1132" t="s">
        <v>2794</v>
      </c>
      <c r="D295" s="1341">
        <v>2240601.65</v>
      </c>
      <c r="E295" s="757" t="s">
        <v>1585</v>
      </c>
      <c r="F295" s="1131" t="s">
        <v>2797</v>
      </c>
      <c r="G295" s="1131" t="s">
        <v>2863</v>
      </c>
    </row>
    <row r="296" spans="1:7" ht="18" customHeight="1">
      <c r="A296" s="757">
        <f t="shared" si="6"/>
        <v>286</v>
      </c>
      <c r="B296" s="757">
        <v>107000</v>
      </c>
      <c r="C296" s="1132" t="s">
        <v>2798</v>
      </c>
      <c r="D296" s="1341">
        <v>0</v>
      </c>
      <c r="E296" s="757" t="s">
        <v>1585</v>
      </c>
      <c r="F296" s="1131" t="s">
        <v>2799</v>
      </c>
      <c r="G296" s="1131" t="s">
        <v>2867</v>
      </c>
    </row>
    <row r="297" spans="1:7" ht="18" customHeight="1">
      <c r="A297" s="757">
        <f t="shared" si="6"/>
        <v>287</v>
      </c>
      <c r="B297" s="757">
        <v>107000</v>
      </c>
      <c r="C297" s="1132" t="s">
        <v>2954</v>
      </c>
      <c r="D297" s="1341">
        <v>0</v>
      </c>
      <c r="E297" s="757" t="s">
        <v>1585</v>
      </c>
      <c r="F297" s="1131" t="s">
        <v>2955</v>
      </c>
      <c r="G297" s="1131" t="s">
        <v>2956</v>
      </c>
    </row>
    <row r="298" spans="1:7" ht="44.4" customHeight="1">
      <c r="A298" s="757">
        <f t="shared" si="6"/>
        <v>288</v>
      </c>
      <c r="B298" s="757">
        <v>107000</v>
      </c>
      <c r="C298" s="1132" t="s">
        <v>2943</v>
      </c>
      <c r="D298" s="1341">
        <v>0</v>
      </c>
      <c r="E298" s="757" t="s">
        <v>1585</v>
      </c>
      <c r="F298" s="1131" t="s">
        <v>2951</v>
      </c>
      <c r="G298" s="1131" t="s">
        <v>2968</v>
      </c>
    </row>
    <row r="299" spans="1:7" ht="43.2" customHeight="1">
      <c r="A299" s="757">
        <f t="shared" si="6"/>
        <v>289</v>
      </c>
      <c r="B299" s="757">
        <v>107000</v>
      </c>
      <c r="C299" s="1132" t="s">
        <v>2942</v>
      </c>
      <c r="D299" s="1341">
        <v>0</v>
      </c>
      <c r="E299" s="757" t="s">
        <v>1585</v>
      </c>
      <c r="F299" s="1131" t="s">
        <v>2791</v>
      </c>
      <c r="G299" s="1131" t="s">
        <v>2970</v>
      </c>
    </row>
    <row r="300" spans="1:7" ht="30" customHeight="1">
      <c r="A300" s="757">
        <f t="shared" si="6"/>
        <v>290</v>
      </c>
      <c r="B300" s="757">
        <v>107000</v>
      </c>
      <c r="C300" s="1132" t="s">
        <v>2957</v>
      </c>
      <c r="D300" s="1341">
        <v>0</v>
      </c>
      <c r="E300" s="757" t="s">
        <v>1585</v>
      </c>
      <c r="F300" s="1131" t="s">
        <v>2959</v>
      </c>
      <c r="G300" s="1131" t="s">
        <v>2964</v>
      </c>
    </row>
    <row r="301" spans="1:7" ht="44.4" customHeight="1" thickBot="1">
      <c r="A301" s="757">
        <f t="shared" si="6"/>
        <v>291</v>
      </c>
      <c r="B301" s="757">
        <v>107000</v>
      </c>
      <c r="C301" s="1132" t="s">
        <v>2958</v>
      </c>
      <c r="D301" s="544">
        <v>0</v>
      </c>
      <c r="E301" s="757" t="s">
        <v>1585</v>
      </c>
      <c r="F301" s="1131" t="s">
        <v>2960</v>
      </c>
      <c r="G301" s="1131" t="s">
        <v>2965</v>
      </c>
    </row>
    <row r="302" spans="1:7" ht="40.950000000000003" customHeight="1" thickTop="1">
      <c r="A302" s="1304">
        <f t="shared" si="6"/>
        <v>292</v>
      </c>
      <c r="B302" s="1304">
        <v>107000</v>
      </c>
      <c r="C302" s="1305" t="s">
        <v>3072</v>
      </c>
      <c r="D302" s="544">
        <v>0</v>
      </c>
      <c r="E302" s="1304" t="s">
        <v>1534</v>
      </c>
      <c r="F302" s="1306" t="s">
        <v>3178</v>
      </c>
      <c r="G302" s="1306" t="s">
        <v>3130</v>
      </c>
    </row>
    <row r="303" spans="1:7" ht="40.950000000000003" customHeight="1">
      <c r="A303" s="757">
        <f t="shared" si="6"/>
        <v>293</v>
      </c>
      <c r="B303" s="757">
        <v>107000</v>
      </c>
      <c r="C303" s="1132" t="s">
        <v>3073</v>
      </c>
      <c r="D303" s="1341">
        <v>0</v>
      </c>
      <c r="E303" s="757" t="s">
        <v>1585</v>
      </c>
      <c r="F303" s="1131" t="s">
        <v>3079</v>
      </c>
      <c r="G303" s="1131" t="s">
        <v>3137</v>
      </c>
    </row>
    <row r="304" spans="1:7" ht="57" customHeight="1">
      <c r="A304" s="757">
        <f t="shared" si="6"/>
        <v>294</v>
      </c>
      <c r="B304" s="757">
        <v>107000</v>
      </c>
      <c r="C304" s="1132" t="s">
        <v>3074</v>
      </c>
      <c r="D304" s="1341">
        <v>2470200.65</v>
      </c>
      <c r="E304" s="757" t="s">
        <v>1585</v>
      </c>
      <c r="F304" s="1131" t="s">
        <v>3080</v>
      </c>
      <c r="G304" s="1131" t="s">
        <v>3138</v>
      </c>
    </row>
    <row r="305" spans="1:7" ht="43.2" customHeight="1">
      <c r="A305" s="757">
        <f t="shared" si="6"/>
        <v>295</v>
      </c>
      <c r="B305" s="757">
        <v>107000</v>
      </c>
      <c r="C305" s="1132" t="s">
        <v>3075</v>
      </c>
      <c r="D305" s="1341">
        <v>0</v>
      </c>
      <c r="E305" s="757" t="s">
        <v>1585</v>
      </c>
      <c r="F305" s="1131" t="s">
        <v>3081</v>
      </c>
      <c r="G305" s="1131" t="s">
        <v>3127</v>
      </c>
    </row>
    <row r="306" spans="1:7" ht="43.95" customHeight="1">
      <c r="A306" s="757">
        <f t="shared" si="6"/>
        <v>296</v>
      </c>
      <c r="B306" s="757">
        <v>107000</v>
      </c>
      <c r="C306" s="1132" t="s">
        <v>3076</v>
      </c>
      <c r="D306" s="1341">
        <v>0</v>
      </c>
      <c r="E306" s="757" t="s">
        <v>1585</v>
      </c>
      <c r="F306" s="1131" t="s">
        <v>3179</v>
      </c>
      <c r="G306" s="1131" t="s">
        <v>3128</v>
      </c>
    </row>
    <row r="307" spans="1:7" ht="43.2" customHeight="1">
      <c r="A307" s="757">
        <f t="shared" si="6"/>
        <v>297</v>
      </c>
      <c r="B307" s="757">
        <v>107000</v>
      </c>
      <c r="C307" s="1132" t="s">
        <v>3077</v>
      </c>
      <c r="D307" s="1341">
        <v>0</v>
      </c>
      <c r="E307" s="757" t="s">
        <v>1534</v>
      </c>
      <c r="F307" s="1131" t="s">
        <v>3180</v>
      </c>
      <c r="G307" s="1131" t="s">
        <v>3131</v>
      </c>
    </row>
    <row r="308" spans="1:7" ht="30" customHeight="1">
      <c r="A308" s="757">
        <f t="shared" si="6"/>
        <v>298</v>
      </c>
      <c r="B308" s="757">
        <v>107000</v>
      </c>
      <c r="C308" s="1132" t="s">
        <v>3078</v>
      </c>
      <c r="D308" s="1341">
        <v>0</v>
      </c>
      <c r="E308" s="757" t="s">
        <v>1534</v>
      </c>
      <c r="F308" s="1131" t="s">
        <v>3082</v>
      </c>
      <c r="G308" s="1131" t="s">
        <v>3129</v>
      </c>
    </row>
    <row r="309" spans="1:7" ht="51.75" customHeight="1">
      <c r="A309" s="757">
        <f t="shared" si="6"/>
        <v>299</v>
      </c>
      <c r="B309" s="757">
        <v>107000</v>
      </c>
      <c r="C309" s="1132" t="s">
        <v>2945</v>
      </c>
      <c r="D309" s="1341">
        <v>0</v>
      </c>
      <c r="E309" s="757" t="s">
        <v>1534</v>
      </c>
      <c r="F309" s="1131" t="s">
        <v>3181</v>
      </c>
      <c r="G309" s="1131" t="s">
        <v>2967</v>
      </c>
    </row>
    <row r="310" spans="1:7" ht="30" customHeight="1" thickBot="1">
      <c r="A310" s="757">
        <f t="shared" si="6"/>
        <v>300</v>
      </c>
      <c r="B310" s="757">
        <v>107000</v>
      </c>
      <c r="C310" s="1132" t="s">
        <v>3187</v>
      </c>
      <c r="D310" s="1341">
        <v>0</v>
      </c>
      <c r="E310" s="757" t="s">
        <v>1585</v>
      </c>
      <c r="F310" s="1131" t="s">
        <v>3188</v>
      </c>
      <c r="G310" s="1131" t="s">
        <v>3189</v>
      </c>
    </row>
    <row r="311" spans="1:7" ht="141.75" customHeight="1" thickTop="1">
      <c r="A311" s="1271">
        <f t="shared" si="6"/>
        <v>301</v>
      </c>
      <c r="B311" s="1271">
        <v>107000</v>
      </c>
      <c r="C311" s="1313">
        <v>10003070</v>
      </c>
      <c r="D311" s="1341">
        <v>0</v>
      </c>
      <c r="E311" s="1271" t="s">
        <v>1534</v>
      </c>
      <c r="F311" s="1314" t="s">
        <v>3226</v>
      </c>
      <c r="G311" s="1314" t="s">
        <v>3341</v>
      </c>
    </row>
    <row r="312" spans="1:7" ht="78.75" customHeight="1">
      <c r="A312" s="757">
        <f t="shared" si="6"/>
        <v>302</v>
      </c>
      <c r="B312" s="757">
        <v>107000</v>
      </c>
      <c r="C312" s="1132">
        <v>10100131</v>
      </c>
      <c r="D312" s="1341">
        <v>0</v>
      </c>
      <c r="E312" s="757" t="s">
        <v>1585</v>
      </c>
      <c r="F312" s="1131" t="s">
        <v>3227</v>
      </c>
      <c r="G312" s="1131" t="s">
        <v>3344</v>
      </c>
    </row>
    <row r="313" spans="1:7" ht="30" customHeight="1">
      <c r="A313" s="757">
        <f t="shared" si="6"/>
        <v>303</v>
      </c>
      <c r="B313" s="757">
        <v>107000</v>
      </c>
      <c r="C313" s="1132">
        <v>10100154</v>
      </c>
      <c r="D313" s="544">
        <v>0</v>
      </c>
      <c r="E313" s="757" t="s">
        <v>1585</v>
      </c>
      <c r="F313" s="1131" t="s">
        <v>3342</v>
      </c>
      <c r="G313" s="1131" t="s">
        <v>3347</v>
      </c>
    </row>
    <row r="314" spans="1:7" ht="117.75" customHeight="1">
      <c r="A314" s="757">
        <f t="shared" si="6"/>
        <v>304</v>
      </c>
      <c r="B314" s="757">
        <v>107000</v>
      </c>
      <c r="C314" s="1132">
        <v>10100194</v>
      </c>
      <c r="D314" s="544">
        <v>0</v>
      </c>
      <c r="E314" s="757" t="s">
        <v>1585</v>
      </c>
      <c r="F314" s="1131" t="s">
        <v>3228</v>
      </c>
      <c r="G314" s="1131" t="s">
        <v>3346</v>
      </c>
    </row>
    <row r="315" spans="1:7" ht="54.75" customHeight="1">
      <c r="A315" s="757">
        <f t="shared" si="6"/>
        <v>305</v>
      </c>
      <c r="B315" s="757">
        <v>107000</v>
      </c>
      <c r="C315" s="1132">
        <v>10100199</v>
      </c>
      <c r="D315" s="544">
        <v>0</v>
      </c>
      <c r="E315" s="757" t="s">
        <v>1585</v>
      </c>
      <c r="F315" s="1131" t="s">
        <v>3229</v>
      </c>
      <c r="G315" s="1131" t="s">
        <v>3345</v>
      </c>
    </row>
    <row r="316" spans="1:7" ht="30" customHeight="1">
      <c r="A316" s="757">
        <f t="shared" si="6"/>
        <v>306</v>
      </c>
      <c r="B316" s="757">
        <v>107000</v>
      </c>
      <c r="C316" s="1132">
        <v>10100238</v>
      </c>
      <c r="D316" s="544">
        <v>0</v>
      </c>
      <c r="E316" s="757" t="s">
        <v>1585</v>
      </c>
      <c r="F316" s="1131" t="s">
        <v>3230</v>
      </c>
      <c r="G316" s="1131" t="s">
        <v>3343</v>
      </c>
    </row>
    <row r="317" spans="1:7" ht="54.75" customHeight="1">
      <c r="A317" s="757">
        <f t="shared" si="6"/>
        <v>307</v>
      </c>
      <c r="B317" s="757">
        <v>107000</v>
      </c>
      <c r="C317" s="1132">
        <v>10100300</v>
      </c>
      <c r="D317" s="1341">
        <v>0</v>
      </c>
      <c r="E317" s="757" t="s">
        <v>1534</v>
      </c>
      <c r="F317" s="1131" t="s">
        <v>3231</v>
      </c>
      <c r="G317" s="1131" t="s">
        <v>3349</v>
      </c>
    </row>
    <row r="318" spans="1:7" ht="113.25" customHeight="1">
      <c r="A318" s="757">
        <f t="shared" si="6"/>
        <v>308</v>
      </c>
      <c r="B318" s="757">
        <v>107000</v>
      </c>
      <c r="C318" s="1132" t="s">
        <v>2944</v>
      </c>
      <c r="D318" s="1341">
        <v>1352147.27</v>
      </c>
      <c r="E318" s="757" t="s">
        <v>1585</v>
      </c>
      <c r="F318" s="1131" t="s">
        <v>3232</v>
      </c>
      <c r="G318" s="1131" t="s">
        <v>3348</v>
      </c>
    </row>
    <row r="319" spans="1:7" ht="39" customHeight="1">
      <c r="A319" s="757">
        <f>A318+1</f>
        <v>309</v>
      </c>
      <c r="B319" s="757">
        <v>107000</v>
      </c>
      <c r="C319" s="1132" t="s">
        <v>3224</v>
      </c>
      <c r="D319" s="1341">
        <v>0</v>
      </c>
      <c r="E319" s="757" t="s">
        <v>1585</v>
      </c>
      <c r="F319" s="1131" t="s">
        <v>3357</v>
      </c>
      <c r="G319" s="1131" t="s">
        <v>3356</v>
      </c>
    </row>
    <row r="320" spans="1:7" ht="81" customHeight="1">
      <c r="A320" s="757">
        <f>A319+1</f>
        <v>310</v>
      </c>
      <c r="B320" s="757">
        <v>107000</v>
      </c>
      <c r="C320" s="1132" t="s">
        <v>3225</v>
      </c>
      <c r="D320" s="1341">
        <v>2188855.52</v>
      </c>
      <c r="E320" s="757" t="s">
        <v>1585</v>
      </c>
      <c r="F320" s="1131" t="s">
        <v>3233</v>
      </c>
      <c r="G320" s="1131" t="s">
        <v>3330</v>
      </c>
    </row>
    <row r="321" spans="1:7" ht="234.75" customHeight="1">
      <c r="A321" s="757">
        <f>A320+1</f>
        <v>311</v>
      </c>
      <c r="B321" s="757" t="s">
        <v>3376</v>
      </c>
      <c r="C321" s="1132" t="s">
        <v>3391</v>
      </c>
      <c r="D321" s="1601">
        <v>0</v>
      </c>
      <c r="E321" s="757" t="s">
        <v>1585</v>
      </c>
      <c r="F321" s="1131" t="s">
        <v>3392</v>
      </c>
      <c r="G321" s="1131" t="s">
        <v>3395</v>
      </c>
    </row>
    <row r="322" spans="1:7" ht="57.75" customHeight="1">
      <c r="A322" s="757">
        <f t="shared" ref="A322:A344" si="7">A321+1</f>
        <v>312</v>
      </c>
      <c r="B322" s="757" t="s">
        <v>3376</v>
      </c>
      <c r="C322" s="1132">
        <v>10100724</v>
      </c>
      <c r="D322" s="1601">
        <v>0</v>
      </c>
      <c r="E322" s="757" t="s">
        <v>1585</v>
      </c>
      <c r="F322" s="1131" t="s">
        <v>3393</v>
      </c>
      <c r="G322" s="1131" t="s">
        <v>3396</v>
      </c>
    </row>
    <row r="323" spans="1:7" ht="45" customHeight="1">
      <c r="A323" s="757">
        <f t="shared" si="7"/>
        <v>313</v>
      </c>
      <c r="B323" s="757" t="s">
        <v>3376</v>
      </c>
      <c r="C323" s="1132" t="s">
        <v>3066</v>
      </c>
      <c r="D323" s="1601">
        <v>0</v>
      </c>
      <c r="E323" s="757" t="s">
        <v>1585</v>
      </c>
      <c r="F323" s="1131" t="s">
        <v>3394</v>
      </c>
      <c r="G323" s="1131" t="s">
        <v>3532</v>
      </c>
    </row>
    <row r="324" spans="1:7" ht="59.25" customHeight="1">
      <c r="A324" s="757">
        <f t="shared" si="7"/>
        <v>314</v>
      </c>
      <c r="B324" s="757" t="s">
        <v>3376</v>
      </c>
      <c r="C324" s="1132" t="s">
        <v>3220</v>
      </c>
      <c r="D324" s="1601">
        <v>2153976.25</v>
      </c>
      <c r="E324" s="757" t="s">
        <v>1534</v>
      </c>
      <c r="F324" s="1131" t="s">
        <v>3533</v>
      </c>
      <c r="G324" s="1131" t="s">
        <v>3402</v>
      </c>
    </row>
    <row r="325" spans="1:7" ht="33" customHeight="1">
      <c r="A325" s="757">
        <f t="shared" si="7"/>
        <v>315</v>
      </c>
      <c r="B325" s="757" t="s">
        <v>3376</v>
      </c>
      <c r="C325" s="1132" t="s">
        <v>3386</v>
      </c>
      <c r="D325" s="1601">
        <v>25429447.149999999</v>
      </c>
      <c r="E325" s="757" t="s">
        <v>1585</v>
      </c>
      <c r="F325" s="1131" t="s">
        <v>3389</v>
      </c>
      <c r="G325" s="1131" t="s">
        <v>3387</v>
      </c>
    </row>
    <row r="326" spans="1:7" ht="79.2">
      <c r="A326" s="757">
        <f t="shared" si="7"/>
        <v>316</v>
      </c>
      <c r="B326" s="757" t="s">
        <v>3376</v>
      </c>
      <c r="C326" s="1132" t="s">
        <v>3397</v>
      </c>
      <c r="D326" s="1601">
        <v>3694245.48</v>
      </c>
      <c r="E326" s="757" t="s">
        <v>1585</v>
      </c>
      <c r="F326" s="1131" t="s">
        <v>3400</v>
      </c>
      <c r="G326" s="1131" t="s">
        <v>3530</v>
      </c>
    </row>
    <row r="327" spans="1:7" ht="66">
      <c r="A327" s="757">
        <f>A326+1</f>
        <v>317</v>
      </c>
      <c r="B327" s="757" t="s">
        <v>3376</v>
      </c>
      <c r="C327" s="1132" t="s">
        <v>3398</v>
      </c>
      <c r="D327" s="1601">
        <v>1371224.81</v>
      </c>
      <c r="E327" s="757" t="s">
        <v>1585</v>
      </c>
      <c r="F327" s="1131" t="s">
        <v>3536</v>
      </c>
      <c r="G327" s="1131" t="s">
        <v>3535</v>
      </c>
    </row>
    <row r="328" spans="1:7" ht="105.6">
      <c r="A328" s="757">
        <f>A327+1</f>
        <v>318</v>
      </c>
      <c r="B328" s="757" t="s">
        <v>3376</v>
      </c>
      <c r="C328" s="1132" t="s">
        <v>3399</v>
      </c>
      <c r="D328" s="1601">
        <v>117608.62</v>
      </c>
      <c r="E328" s="757" t="s">
        <v>1585</v>
      </c>
      <c r="F328" s="1131" t="s">
        <v>3401</v>
      </c>
      <c r="G328" s="1131" t="s">
        <v>3531</v>
      </c>
    </row>
    <row r="329" spans="1:7" ht="79.2">
      <c r="A329" s="757">
        <f t="shared" si="7"/>
        <v>319</v>
      </c>
      <c r="B329" s="757" t="s">
        <v>3376</v>
      </c>
      <c r="C329" s="1132" t="s">
        <v>3403</v>
      </c>
      <c r="D329" s="1601">
        <v>0</v>
      </c>
      <c r="E329" s="757" t="s">
        <v>1585</v>
      </c>
      <c r="F329" s="1131" t="s">
        <v>3406</v>
      </c>
      <c r="G329" s="1131" t="s">
        <v>3542</v>
      </c>
    </row>
    <row r="330" spans="1:7" ht="48" customHeight="1">
      <c r="A330" s="757">
        <f t="shared" si="7"/>
        <v>320</v>
      </c>
      <c r="B330" s="757" t="s">
        <v>3376</v>
      </c>
      <c r="C330" s="1132" t="s">
        <v>3404</v>
      </c>
      <c r="D330" s="1601">
        <v>0</v>
      </c>
      <c r="E330" s="757" t="s">
        <v>1585</v>
      </c>
      <c r="F330" s="1131" t="s">
        <v>3407</v>
      </c>
      <c r="G330" s="1131" t="s">
        <v>3409</v>
      </c>
    </row>
    <row r="331" spans="1:7" ht="67.5" customHeight="1" thickBot="1">
      <c r="A331" s="1542">
        <f t="shared" si="7"/>
        <v>321</v>
      </c>
      <c r="B331" s="1542" t="s">
        <v>3376</v>
      </c>
      <c r="C331" s="1555" t="s">
        <v>3405</v>
      </c>
      <c r="D331" s="1602">
        <v>0</v>
      </c>
      <c r="E331" s="757" t="s">
        <v>1585</v>
      </c>
      <c r="F331" s="1131" t="s">
        <v>3408</v>
      </c>
      <c r="G331" s="1131" t="s">
        <v>3534</v>
      </c>
    </row>
    <row r="332" spans="1:7" ht="40.200000000000003" thickTop="1">
      <c r="A332" s="896">
        <f t="shared" si="7"/>
        <v>322</v>
      </c>
      <c r="B332" s="896" t="s">
        <v>3376</v>
      </c>
      <c r="C332" s="1220" t="s">
        <v>3628</v>
      </c>
      <c r="D332" s="1311">
        <v>1070822.8700000001</v>
      </c>
      <c r="E332" s="1577" t="s">
        <v>1585</v>
      </c>
      <c r="F332" s="1556" t="s">
        <v>3639</v>
      </c>
      <c r="G332" s="1556" t="s">
        <v>3657</v>
      </c>
    </row>
    <row r="333" spans="1:7" ht="118.8">
      <c r="A333" s="896">
        <f t="shared" si="7"/>
        <v>323</v>
      </c>
      <c r="B333" s="896" t="s">
        <v>3376</v>
      </c>
      <c r="C333" s="1220" t="s">
        <v>3629</v>
      </c>
      <c r="D333" s="1311">
        <v>4709415.3</v>
      </c>
      <c r="E333" s="896" t="s">
        <v>1585</v>
      </c>
      <c r="F333" s="897" t="s">
        <v>3640</v>
      </c>
      <c r="G333" s="897" t="s">
        <v>3641</v>
      </c>
    </row>
    <row r="334" spans="1:7" ht="79.2">
      <c r="A334" s="896">
        <f t="shared" si="7"/>
        <v>324</v>
      </c>
      <c r="B334" s="896" t="s">
        <v>3376</v>
      </c>
      <c r="C334" s="1220" t="s">
        <v>3630</v>
      </c>
      <c r="D334" s="1311">
        <v>1526765.56</v>
      </c>
      <c r="E334" s="896" t="s">
        <v>1534</v>
      </c>
      <c r="F334" s="897" t="s">
        <v>3642</v>
      </c>
      <c r="G334" s="897" t="s">
        <v>3643</v>
      </c>
    </row>
    <row r="335" spans="1:7" ht="343.2">
      <c r="A335" s="896">
        <f t="shared" si="7"/>
        <v>325</v>
      </c>
      <c r="B335" s="896" t="s">
        <v>3376</v>
      </c>
      <c r="C335" s="1220" t="s">
        <v>3631</v>
      </c>
      <c r="D335" s="1311">
        <v>1050649.1100000001</v>
      </c>
      <c r="E335" s="896" t="s">
        <v>1585</v>
      </c>
      <c r="F335" s="897" t="s">
        <v>3644</v>
      </c>
      <c r="G335" s="897" t="s">
        <v>3645</v>
      </c>
    </row>
    <row r="336" spans="1:7" ht="303.60000000000002">
      <c r="A336" s="896">
        <f t="shared" si="7"/>
        <v>326</v>
      </c>
      <c r="B336" s="896" t="s">
        <v>3376</v>
      </c>
      <c r="C336" s="1220" t="s">
        <v>3221</v>
      </c>
      <c r="D336" s="1311">
        <v>1012801.14</v>
      </c>
      <c r="E336" s="896" t="s">
        <v>1585</v>
      </c>
      <c r="F336" s="897" t="s">
        <v>3659</v>
      </c>
      <c r="G336" s="897" t="s">
        <v>3646</v>
      </c>
    </row>
    <row r="337" spans="1:7" ht="105.6">
      <c r="A337" s="896">
        <f t="shared" si="7"/>
        <v>327</v>
      </c>
      <c r="B337" s="896" t="s">
        <v>3376</v>
      </c>
      <c r="C337" s="1220" t="s">
        <v>3383</v>
      </c>
      <c r="D337" s="1311">
        <v>1777883.6400000001</v>
      </c>
      <c r="E337" s="896" t="s">
        <v>1585</v>
      </c>
      <c r="F337" s="897" t="s">
        <v>3384</v>
      </c>
      <c r="G337" s="897" t="s">
        <v>3385</v>
      </c>
    </row>
    <row r="338" spans="1:7" ht="118.8">
      <c r="A338" s="896">
        <f t="shared" si="7"/>
        <v>328</v>
      </c>
      <c r="B338" s="896" t="s">
        <v>3376</v>
      </c>
      <c r="C338" s="1220" t="s">
        <v>3632</v>
      </c>
      <c r="D338" s="1311">
        <v>8240386.9199999999</v>
      </c>
      <c r="E338" s="896" t="s">
        <v>1585</v>
      </c>
      <c r="F338" s="897" t="s">
        <v>3647</v>
      </c>
      <c r="G338" s="897" t="s">
        <v>3660</v>
      </c>
    </row>
    <row r="339" spans="1:7" ht="158.4">
      <c r="A339" s="896">
        <f t="shared" si="7"/>
        <v>329</v>
      </c>
      <c r="B339" s="896" t="s">
        <v>3376</v>
      </c>
      <c r="C339" s="1220" t="s">
        <v>3633</v>
      </c>
      <c r="D339" s="1311">
        <v>2926956.3200000003</v>
      </c>
      <c r="E339" s="896" t="s">
        <v>1585</v>
      </c>
      <c r="F339" s="897" t="s">
        <v>3648</v>
      </c>
      <c r="G339" s="897" t="s">
        <v>3661</v>
      </c>
    </row>
    <row r="340" spans="1:7" ht="52.8">
      <c r="A340" s="896">
        <f t="shared" si="7"/>
        <v>330</v>
      </c>
      <c r="B340" s="896" t="s">
        <v>3376</v>
      </c>
      <c r="C340" s="1220" t="s">
        <v>3634</v>
      </c>
      <c r="D340" s="1311">
        <v>1037566.12</v>
      </c>
      <c r="E340" s="896" t="s">
        <v>1585</v>
      </c>
      <c r="F340" s="897" t="s">
        <v>3649</v>
      </c>
      <c r="G340" s="897" t="s">
        <v>3662</v>
      </c>
    </row>
    <row r="341" spans="1:7" ht="158.4">
      <c r="A341" s="896">
        <f t="shared" si="7"/>
        <v>331</v>
      </c>
      <c r="B341" s="896" t="s">
        <v>3376</v>
      </c>
      <c r="C341" s="1220" t="s">
        <v>3635</v>
      </c>
      <c r="D341" s="1311">
        <v>1174993.3500000001</v>
      </c>
      <c r="E341" s="896" t="s">
        <v>1585</v>
      </c>
      <c r="F341" s="897" t="s">
        <v>3650</v>
      </c>
      <c r="G341" s="897" t="s">
        <v>3661</v>
      </c>
    </row>
    <row r="342" spans="1:7" ht="26.4">
      <c r="A342" s="896">
        <f t="shared" si="7"/>
        <v>332</v>
      </c>
      <c r="B342" s="896" t="s">
        <v>3376</v>
      </c>
      <c r="C342" s="1220" t="s">
        <v>3636</v>
      </c>
      <c r="D342" s="1311">
        <v>2672177</v>
      </c>
      <c r="E342" s="896" t="s">
        <v>1585</v>
      </c>
      <c r="F342" s="897" t="s">
        <v>3651</v>
      </c>
      <c r="G342" s="897" t="s">
        <v>3652</v>
      </c>
    </row>
    <row r="343" spans="1:7" ht="39.6">
      <c r="A343" s="896">
        <f t="shared" si="7"/>
        <v>333</v>
      </c>
      <c r="B343" s="896" t="s">
        <v>3376</v>
      </c>
      <c r="C343" s="1220" t="s">
        <v>3637</v>
      </c>
      <c r="D343" s="1311">
        <v>1331799.2</v>
      </c>
      <c r="E343" s="896" t="s">
        <v>1585</v>
      </c>
      <c r="F343" s="897" t="s">
        <v>3653</v>
      </c>
      <c r="G343" s="897" t="s">
        <v>3654</v>
      </c>
    </row>
    <row r="344" spans="1:7" ht="26.4">
      <c r="A344" s="896">
        <f t="shared" si="7"/>
        <v>334</v>
      </c>
      <c r="B344" s="896" t="s">
        <v>3376</v>
      </c>
      <c r="C344" s="1220" t="s">
        <v>3638</v>
      </c>
      <c r="D344" s="1311">
        <v>1067938.33</v>
      </c>
      <c r="E344" s="896" t="s">
        <v>1585</v>
      </c>
      <c r="F344" s="897" t="s">
        <v>3655</v>
      </c>
      <c r="G344" s="897" t="s">
        <v>3656</v>
      </c>
    </row>
    <row r="345" spans="1:7" ht="7.2" customHeight="1">
      <c r="A345" s="239"/>
      <c r="B345" s="294"/>
      <c r="C345" s="295"/>
      <c r="D345" s="297"/>
      <c r="E345" s="132"/>
      <c r="F345" s="28"/>
      <c r="G345" s="31"/>
    </row>
    <row r="346" spans="1:7">
      <c r="B346" s="116" t="s">
        <v>1571</v>
      </c>
      <c r="G346" s="28"/>
    </row>
    <row r="347" spans="1:7">
      <c r="B347" s="117">
        <v>1</v>
      </c>
      <c r="C347" s="9" t="s">
        <v>853</v>
      </c>
      <c r="G347" s="28"/>
    </row>
    <row r="348" spans="1:7">
      <c r="C348" s="10" t="s">
        <v>854</v>
      </c>
      <c r="D348" s="9" t="s">
        <v>863</v>
      </c>
      <c r="G348" s="28"/>
    </row>
    <row r="349" spans="1:7">
      <c r="C349" s="10" t="s">
        <v>864</v>
      </c>
      <c r="D349" s="9" t="s">
        <v>865</v>
      </c>
      <c r="G349" s="28"/>
    </row>
    <row r="350" spans="1:7">
      <c r="C350" s="10" t="s">
        <v>855</v>
      </c>
      <c r="D350" s="9" t="s">
        <v>859</v>
      </c>
      <c r="G350" s="28"/>
    </row>
    <row r="351" spans="1:7">
      <c r="C351" s="10" t="s">
        <v>866</v>
      </c>
      <c r="D351" s="9" t="s">
        <v>867</v>
      </c>
      <c r="G351" s="28"/>
    </row>
    <row r="352" spans="1:7">
      <c r="C352" s="10" t="s">
        <v>868</v>
      </c>
      <c r="D352" s="9" t="s">
        <v>869</v>
      </c>
      <c r="G352" s="28"/>
    </row>
    <row r="353" spans="2:7">
      <c r="C353" s="10" t="s">
        <v>870</v>
      </c>
      <c r="D353" s="9" t="s">
        <v>871</v>
      </c>
      <c r="G353" s="28"/>
    </row>
    <row r="354" spans="2:7" ht="8.4" customHeight="1">
      <c r="G354" s="28"/>
    </row>
    <row r="355" spans="2:7">
      <c r="B355" s="117">
        <v>2</v>
      </c>
      <c r="C355" s="9" t="s">
        <v>2270</v>
      </c>
      <c r="G355" s="28"/>
    </row>
    <row r="356" spans="2:7">
      <c r="G356" s="28"/>
    </row>
    <row r="357" spans="2:7">
      <c r="G357" s="28"/>
    </row>
    <row r="358" spans="2:7">
      <c r="G358" s="28"/>
    </row>
    <row r="359" spans="2:7">
      <c r="G359" s="28"/>
    </row>
    <row r="360" spans="2:7">
      <c r="G360" s="28"/>
    </row>
    <row r="361" spans="2:7">
      <c r="G361" s="28"/>
    </row>
    <row r="362" spans="2:7">
      <c r="G362" s="28"/>
    </row>
    <row r="363" spans="2:7">
      <c r="G363" s="28"/>
    </row>
    <row r="364" spans="2:7">
      <c r="G364" s="28"/>
    </row>
    <row r="365" spans="2:7">
      <c r="G365" s="28"/>
    </row>
    <row r="366" spans="2:7">
      <c r="G366" s="28"/>
    </row>
    <row r="367" spans="2:7">
      <c r="G367" s="28"/>
    </row>
    <row r="368" spans="2:7">
      <c r="G368" s="28"/>
    </row>
    <row r="369" spans="7:7">
      <c r="G369" s="28"/>
    </row>
    <row r="370" spans="7:7">
      <c r="G370" s="28"/>
    </row>
    <row r="371" spans="7:7">
      <c r="G371" s="28"/>
    </row>
    <row r="372" spans="7:7">
      <c r="G372" s="28"/>
    </row>
    <row r="373" spans="7:7">
      <c r="G373" s="28"/>
    </row>
    <row r="374" spans="7:7">
      <c r="G374" s="28"/>
    </row>
    <row r="375" spans="7:7">
      <c r="G375" s="28"/>
    </row>
    <row r="376" spans="7:7">
      <c r="G376" s="28"/>
    </row>
    <row r="377" spans="7:7">
      <c r="G377" s="28"/>
    </row>
    <row r="378" spans="7:7">
      <c r="G378" s="28"/>
    </row>
    <row r="379" spans="7:7">
      <c r="G379" s="28"/>
    </row>
    <row r="380" spans="7:7">
      <c r="G380" s="28"/>
    </row>
    <row r="381" spans="7:7">
      <c r="G381" s="28"/>
    </row>
    <row r="382" spans="7:7">
      <c r="G382" s="28"/>
    </row>
    <row r="383" spans="7:7">
      <c r="G383" s="28"/>
    </row>
    <row r="384" spans="7:7">
      <c r="G384" s="28"/>
    </row>
    <row r="385" spans="7:7">
      <c r="G385" s="28"/>
    </row>
    <row r="386" spans="7:7">
      <c r="G386" s="28"/>
    </row>
    <row r="387" spans="7:7">
      <c r="G387" s="28"/>
    </row>
    <row r="388" spans="7:7">
      <c r="G388" s="28"/>
    </row>
    <row r="389" spans="7:7">
      <c r="G389" s="28"/>
    </row>
    <row r="390" spans="7:7">
      <c r="G390" s="28"/>
    </row>
    <row r="391" spans="7:7">
      <c r="G391" s="28"/>
    </row>
    <row r="392" spans="7:7">
      <c r="G392" s="28"/>
    </row>
    <row r="393" spans="7:7">
      <c r="G393" s="28"/>
    </row>
    <row r="394" spans="7:7">
      <c r="G394" s="28"/>
    </row>
    <row r="395" spans="7:7">
      <c r="G395" s="28"/>
    </row>
    <row r="396" spans="7:7">
      <c r="G396" s="28"/>
    </row>
    <row r="397" spans="7:7">
      <c r="G397" s="28"/>
    </row>
    <row r="398" spans="7:7">
      <c r="G398" s="28"/>
    </row>
    <row r="399" spans="7:7">
      <c r="G399" s="28"/>
    </row>
    <row r="400" spans="7:7">
      <c r="G400" s="28"/>
    </row>
    <row r="401" spans="7:7">
      <c r="G401" s="28"/>
    </row>
    <row r="402" spans="7:7">
      <c r="G402" s="28"/>
    </row>
    <row r="403" spans="7:7">
      <c r="G403" s="28"/>
    </row>
    <row r="404" spans="7:7">
      <c r="G404" s="28"/>
    </row>
    <row r="405" spans="7:7">
      <c r="G405" s="28"/>
    </row>
    <row r="406" spans="7:7">
      <c r="G406" s="28"/>
    </row>
    <row r="407" spans="7:7">
      <c r="G407" s="28"/>
    </row>
    <row r="408" spans="7:7">
      <c r="G408" s="28"/>
    </row>
    <row r="409" spans="7:7">
      <c r="G409" s="28"/>
    </row>
    <row r="410" spans="7:7">
      <c r="G410" s="28"/>
    </row>
    <row r="411" spans="7:7">
      <c r="G411" s="28"/>
    </row>
    <row r="412" spans="7:7">
      <c r="G412" s="28"/>
    </row>
    <row r="413" spans="7:7">
      <c r="G413" s="28"/>
    </row>
    <row r="414" spans="7:7">
      <c r="G414" s="28"/>
    </row>
    <row r="415" spans="7:7">
      <c r="G415" s="28"/>
    </row>
    <row r="416" spans="7:7">
      <c r="G416" s="28"/>
    </row>
    <row r="417" spans="7:7">
      <c r="G417" s="28"/>
    </row>
    <row r="418" spans="7:7">
      <c r="G418" s="28"/>
    </row>
    <row r="419" spans="7:7">
      <c r="G419" s="28"/>
    </row>
    <row r="420" spans="7:7">
      <c r="G420" s="28"/>
    </row>
    <row r="421" spans="7:7">
      <c r="G421" s="28"/>
    </row>
    <row r="422" spans="7:7">
      <c r="G422" s="28"/>
    </row>
    <row r="423" spans="7:7">
      <c r="G423" s="28"/>
    </row>
    <row r="424" spans="7:7">
      <c r="G424" s="28"/>
    </row>
    <row r="425" spans="7:7">
      <c r="G425" s="28"/>
    </row>
    <row r="426" spans="7:7">
      <c r="G426" s="28"/>
    </row>
    <row r="427" spans="7:7">
      <c r="G427" s="28"/>
    </row>
    <row r="428" spans="7:7">
      <c r="G428" s="28"/>
    </row>
    <row r="429" spans="7:7">
      <c r="G429" s="28"/>
    </row>
    <row r="430" spans="7:7">
      <c r="G430" s="28"/>
    </row>
    <row r="431" spans="7:7">
      <c r="G431" s="28"/>
    </row>
    <row r="432" spans="7:7">
      <c r="G432" s="28"/>
    </row>
    <row r="433" spans="7:7">
      <c r="G433" s="28"/>
    </row>
    <row r="434" spans="7:7">
      <c r="G434" s="28"/>
    </row>
    <row r="435" spans="7:7">
      <c r="G435" s="28"/>
    </row>
    <row r="436" spans="7:7">
      <c r="G436" s="28"/>
    </row>
    <row r="437" spans="7:7">
      <c r="G437" s="28"/>
    </row>
    <row r="438" spans="7:7">
      <c r="G438" s="28"/>
    </row>
    <row r="439" spans="7:7">
      <c r="G439" s="28"/>
    </row>
    <row r="440" spans="7:7">
      <c r="G440" s="28"/>
    </row>
    <row r="441" spans="7:7">
      <c r="G441" s="28"/>
    </row>
    <row r="442" spans="7:7">
      <c r="G442" s="28"/>
    </row>
    <row r="443" spans="7:7">
      <c r="G443" s="28"/>
    </row>
    <row r="444" spans="7:7">
      <c r="G444" s="28"/>
    </row>
    <row r="445" spans="7:7">
      <c r="G445" s="28"/>
    </row>
    <row r="446" spans="7:7">
      <c r="G446" s="28"/>
    </row>
    <row r="447" spans="7:7">
      <c r="G447" s="28"/>
    </row>
    <row r="448" spans="7:7">
      <c r="G448" s="28"/>
    </row>
    <row r="449" spans="7:7">
      <c r="G449" s="28"/>
    </row>
    <row r="450" spans="7:7">
      <c r="G450" s="28"/>
    </row>
    <row r="451" spans="7:7">
      <c r="G451" s="28"/>
    </row>
    <row r="452" spans="7:7">
      <c r="G452" s="28"/>
    </row>
    <row r="453" spans="7:7">
      <c r="G453" s="28"/>
    </row>
    <row r="454" spans="7:7">
      <c r="G454" s="28"/>
    </row>
    <row r="455" spans="7:7">
      <c r="G455" s="28"/>
    </row>
    <row r="456" spans="7:7">
      <c r="G456" s="28"/>
    </row>
    <row r="457" spans="7:7">
      <c r="G457" s="28"/>
    </row>
    <row r="458" spans="7:7">
      <c r="G458" s="28"/>
    </row>
    <row r="459" spans="7:7">
      <c r="G459" s="28"/>
    </row>
    <row r="460" spans="7:7">
      <c r="G460" s="28"/>
    </row>
    <row r="461" spans="7:7">
      <c r="G461" s="28"/>
    </row>
    <row r="462" spans="7:7">
      <c r="G462" s="28"/>
    </row>
    <row r="463" spans="7:7">
      <c r="G463" s="28"/>
    </row>
    <row r="464" spans="7:7">
      <c r="G464" s="28"/>
    </row>
    <row r="465" spans="7:7">
      <c r="G465" s="28"/>
    </row>
    <row r="466" spans="7:7">
      <c r="G466" s="28"/>
    </row>
    <row r="467" spans="7:7">
      <c r="G467" s="28"/>
    </row>
    <row r="468" spans="7:7">
      <c r="G468" s="28"/>
    </row>
    <row r="469" spans="7:7">
      <c r="G469" s="28"/>
    </row>
    <row r="470" spans="7:7">
      <c r="G470" s="28"/>
    </row>
    <row r="471" spans="7:7">
      <c r="G471" s="28"/>
    </row>
    <row r="472" spans="7:7">
      <c r="G472" s="28"/>
    </row>
    <row r="473" spans="7:7">
      <c r="G473" s="28"/>
    </row>
    <row r="474" spans="7:7">
      <c r="G474" s="28"/>
    </row>
    <row r="475" spans="7:7">
      <c r="G475" s="28"/>
    </row>
    <row r="476" spans="7:7">
      <c r="G476" s="28"/>
    </row>
    <row r="477" spans="7:7">
      <c r="G477" s="28"/>
    </row>
    <row r="478" spans="7:7">
      <c r="G478" s="28"/>
    </row>
    <row r="479" spans="7:7">
      <c r="G479" s="28"/>
    </row>
    <row r="480" spans="7:7">
      <c r="G480" s="28"/>
    </row>
    <row r="481" spans="7:7">
      <c r="G481" s="28"/>
    </row>
    <row r="482" spans="7:7">
      <c r="G482" s="28"/>
    </row>
    <row r="483" spans="7:7">
      <c r="G483" s="28"/>
    </row>
    <row r="484" spans="7:7">
      <c r="G484" s="28"/>
    </row>
    <row r="485" spans="7:7">
      <c r="G485" s="28"/>
    </row>
    <row r="486" spans="7:7">
      <c r="G486" s="28"/>
    </row>
    <row r="487" spans="7:7">
      <c r="G487" s="28"/>
    </row>
    <row r="488" spans="7:7">
      <c r="G488" s="28"/>
    </row>
    <row r="489" spans="7:7">
      <c r="G489" s="28"/>
    </row>
    <row r="490" spans="7:7">
      <c r="G490" s="28"/>
    </row>
    <row r="491" spans="7:7">
      <c r="G491" s="28"/>
    </row>
    <row r="492" spans="7:7">
      <c r="G492" s="28"/>
    </row>
    <row r="493" spans="7:7">
      <c r="G493" s="28"/>
    </row>
    <row r="494" spans="7:7">
      <c r="G494" s="28"/>
    </row>
    <row r="495" spans="7:7">
      <c r="G495" s="28"/>
    </row>
    <row r="496" spans="7:7">
      <c r="G496" s="28"/>
    </row>
    <row r="497" spans="7:7">
      <c r="G497" s="28"/>
    </row>
    <row r="498" spans="7:7">
      <c r="G498" s="28"/>
    </row>
    <row r="499" spans="7:7">
      <c r="G499" s="28"/>
    </row>
    <row r="500" spans="7:7">
      <c r="G500" s="28"/>
    </row>
    <row r="501" spans="7:7">
      <c r="G501" s="28"/>
    </row>
    <row r="502" spans="7:7">
      <c r="G502" s="28"/>
    </row>
  </sheetData>
  <sheetProtection sheet="1" objects="1" scenarios="1"/>
  <mergeCells count="2">
    <mergeCell ref="A1:G1"/>
    <mergeCell ref="A2:G2"/>
  </mergeCells>
  <phoneticPr fontId="0" type="noConversion"/>
  <printOptions horizontalCentered="1"/>
  <pageMargins left="0.75" right="0.75" top="0.88" bottom="1" header="0.5" footer="0.5"/>
  <pageSetup scale="60" fitToHeight="11" orientation="landscape" r:id="rId1"/>
  <headerFooter alignWithMargins="0">
    <oddHeader>&amp;C&amp;"Times New Roman,Bold"&amp;16ATTACHMENT D, Page &amp;P of &amp;N
EVERGY</oddHeader>
    <oddFooter>&amp;R&amp;1#&amp;"Calibri"&amp;10&amp;KA80000Internal Use Only</oddFooter>
  </headerFooter>
  <rowBreaks count="14" manualBreakCount="14">
    <brk id="21" max="16383" man="1"/>
    <brk id="27" max="16383" man="1"/>
    <brk id="39" max="16383" man="1"/>
    <brk id="50" min="4" max="6" man="1"/>
    <brk id="60" min="4" max="6" man="1"/>
    <brk id="69" min="4" max="6" man="1"/>
    <brk id="85" min="4" max="6" man="1"/>
    <brk id="115" min="4" max="6" man="1"/>
    <brk id="153" min="4" max="6" man="1"/>
    <brk id="188" min="4" max="6" man="1"/>
    <brk id="218" min="4" max="6" man="1"/>
    <brk id="240" min="4" max="6" man="1"/>
    <brk id="255" min="4" max="6" man="1"/>
    <brk id="277" max="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L526"/>
  <sheetViews>
    <sheetView view="pageBreakPreview" zoomScale="115" zoomScaleNormal="77" zoomScaleSheetLayoutView="115" workbookViewId="0">
      <pane xSplit="3" ySplit="11" topLeftCell="D332" activePane="bottomRight" state="frozen"/>
      <selection activeCell="M16" sqref="M16"/>
      <selection pane="topRight" activeCell="M16" sqref="M16"/>
      <selection pane="bottomLeft" activeCell="M16" sqref="M16"/>
      <selection pane="bottomRight" activeCell="A333" sqref="A333"/>
    </sheetView>
  </sheetViews>
  <sheetFormatPr defaultColWidth="9.109375" defaultRowHeight="13.2"/>
  <cols>
    <col min="1" max="1" width="7.6640625" style="38" customWidth="1"/>
    <col min="2" max="2" width="8.33203125" style="38" customWidth="1"/>
    <col min="3" max="5" width="20.6640625" style="9" customWidth="1"/>
    <col min="6" max="7" width="10.6640625" style="9" customWidth="1"/>
    <col min="8" max="9" width="20.6640625" style="9" customWidth="1"/>
    <col min="10" max="10" width="17.33203125" style="9" customWidth="1"/>
    <col min="11" max="14" width="20.6640625" style="9" customWidth="1"/>
    <col min="15" max="16384" width="9.109375" style="9"/>
  </cols>
  <sheetData>
    <row r="1" spans="1:10" ht="40.5" customHeight="1">
      <c r="A1" s="1757" t="s">
        <v>3017</v>
      </c>
      <c r="B1" s="1757"/>
      <c r="C1" s="1757"/>
      <c r="D1" s="1757"/>
      <c r="E1" s="1757"/>
      <c r="F1" s="1757"/>
      <c r="G1" s="1757"/>
      <c r="H1" s="1757"/>
      <c r="I1" s="1758"/>
    </row>
    <row r="2" spans="1:10" ht="19.2">
      <c r="A2" s="1759" t="str">
        <f>' Net Monthly Bill'!A2:B2</f>
        <v>For Contract Year Beginning June 1, 2024, Based on 2023 Data</v>
      </c>
      <c r="B2" s="1731"/>
      <c r="C2" s="1731"/>
      <c r="D2" s="1731"/>
      <c r="E2" s="1731"/>
      <c r="F2" s="1731"/>
      <c r="G2" s="1731"/>
      <c r="H2" s="1731"/>
      <c r="I2" s="1731"/>
    </row>
    <row r="3" spans="1:10">
      <c r="A3" s="129"/>
      <c r="B3" s="129"/>
      <c r="C3" s="130"/>
      <c r="D3" s="130"/>
      <c r="E3" s="130"/>
      <c r="F3" s="130"/>
      <c r="G3" s="130"/>
      <c r="H3" s="130"/>
    </row>
    <row r="4" spans="1:10" ht="15.6">
      <c r="A4" s="50"/>
      <c r="B4" s="50"/>
      <c r="C4" s="29"/>
      <c r="D4" s="17" t="s">
        <v>480</v>
      </c>
      <c r="E4" s="17" t="s">
        <v>481</v>
      </c>
      <c r="F4" s="1755" t="s">
        <v>482</v>
      </c>
      <c r="G4" s="1755"/>
      <c r="H4" s="17" t="s">
        <v>657</v>
      </c>
      <c r="I4" s="17" t="s">
        <v>484</v>
      </c>
    </row>
    <row r="5" spans="1:10">
      <c r="A5" s="50"/>
      <c r="B5" s="50"/>
      <c r="C5" s="51"/>
      <c r="D5" s="51"/>
      <c r="E5" s="51"/>
      <c r="F5" s="1755" t="s">
        <v>851</v>
      </c>
      <c r="G5" s="1756"/>
      <c r="H5" s="17"/>
      <c r="I5" s="18"/>
    </row>
    <row r="6" spans="1:10">
      <c r="D6" s="402" t="s">
        <v>480</v>
      </c>
      <c r="E6" s="402" t="s">
        <v>481</v>
      </c>
      <c r="F6" s="403" t="s">
        <v>482</v>
      </c>
      <c r="G6" s="404" t="s">
        <v>483</v>
      </c>
      <c r="H6" s="402" t="s">
        <v>484</v>
      </c>
      <c r="I6" s="402" t="s">
        <v>884</v>
      </c>
    </row>
    <row r="7" spans="1:10">
      <c r="E7" s="402" t="s">
        <v>476</v>
      </c>
      <c r="F7" s="402"/>
      <c r="G7" s="402"/>
      <c r="H7" s="402" t="s">
        <v>1565</v>
      </c>
      <c r="I7" s="402" t="s">
        <v>1566</v>
      </c>
    </row>
    <row r="8" spans="1:10">
      <c r="D8" s="403" t="s">
        <v>510</v>
      </c>
      <c r="E8" s="400"/>
      <c r="F8" s="403" t="s">
        <v>2253</v>
      </c>
      <c r="G8" s="403" t="s">
        <v>2255</v>
      </c>
      <c r="H8" s="403" t="s">
        <v>362</v>
      </c>
      <c r="I8" s="403" t="s">
        <v>1567</v>
      </c>
    </row>
    <row r="9" spans="1:10">
      <c r="D9" s="405" t="s">
        <v>487</v>
      </c>
      <c r="E9" s="405" t="s">
        <v>487</v>
      </c>
      <c r="F9" s="405" t="s">
        <v>2254</v>
      </c>
      <c r="G9" s="405" t="s">
        <v>2256</v>
      </c>
      <c r="H9" s="405" t="s">
        <v>302</v>
      </c>
      <c r="I9" s="405" t="s">
        <v>2257</v>
      </c>
    </row>
    <row r="10" spans="1:10" ht="13.8">
      <c r="A10" s="10" t="s">
        <v>494</v>
      </c>
      <c r="B10" s="38" t="s">
        <v>1078</v>
      </c>
      <c r="C10" s="9" t="s">
        <v>1077</v>
      </c>
      <c r="D10" s="446"/>
      <c r="E10" s="406"/>
      <c r="J10" s="288"/>
    </row>
    <row r="11" spans="1:10" ht="13.8">
      <c r="E11" s="406"/>
      <c r="H11" s="406"/>
    </row>
    <row r="12" spans="1:10" ht="15.6">
      <c r="A12" s="239">
        <v>1</v>
      </c>
      <c r="B12" s="117" t="str">
        <f>'Wrksht. H, CWIP Desc. EKS'!B11</f>
        <v>1070002</v>
      </c>
      <c r="C12" s="9" t="str">
        <f>'Wrksht. H, CWIP Desc. EKS'!C11</f>
        <v>JEC0605973</v>
      </c>
      <c r="D12" s="1159">
        <v>688414.21</v>
      </c>
      <c r="E12" s="131">
        <f>'Wrksht. H, CWIP Desc. EKS'!D11</f>
        <v>0</v>
      </c>
      <c r="F12" s="1158">
        <v>40057</v>
      </c>
      <c r="G12" s="1215">
        <v>39912</v>
      </c>
      <c r="H12" s="1159">
        <v>0</v>
      </c>
      <c r="I12" s="1162">
        <f t="shared" ref="I12:I17" si="0">IF((E12-H12)&lt;=1000000,-H12,E12-H12)</f>
        <v>0</v>
      </c>
    </row>
    <row r="13" spans="1:10">
      <c r="A13" s="239">
        <f>A12+1</f>
        <v>2</v>
      </c>
      <c r="B13" s="117" t="str">
        <f>'Wrksht. H, CWIP Desc. EKS'!B12</f>
        <v>1070002</v>
      </c>
      <c r="C13" s="9" t="str">
        <f>'Wrksht. H, CWIP Desc. EKS'!C12</f>
        <v>JEC0605975</v>
      </c>
      <c r="D13" s="1159">
        <v>647775.6</v>
      </c>
      <c r="E13" s="131">
        <f>'Wrksht. H, CWIP Desc. EKS'!D12</f>
        <v>0</v>
      </c>
      <c r="F13" s="1158">
        <v>40057</v>
      </c>
      <c r="G13" s="1215">
        <v>39822</v>
      </c>
      <c r="H13" s="1159">
        <v>0</v>
      </c>
      <c r="I13" s="407">
        <f t="shared" si="0"/>
        <v>0</v>
      </c>
    </row>
    <row r="14" spans="1:10">
      <c r="A14" s="239">
        <f>A13+1</f>
        <v>3</v>
      </c>
      <c r="B14" s="117" t="str">
        <f>'Wrksht. H, CWIP Desc. EKS'!B13</f>
        <v>1070002</v>
      </c>
      <c r="C14" s="9" t="str">
        <f>'Wrksht. H, CWIP Desc. EKS'!C13</f>
        <v>JEC0605977</v>
      </c>
      <c r="D14" s="1159">
        <v>1060969.8600000001</v>
      </c>
      <c r="E14" s="131">
        <f>'Wrksht. H, CWIP Desc. EKS'!D13</f>
        <v>0</v>
      </c>
      <c r="F14" s="1158">
        <v>40057</v>
      </c>
      <c r="G14" s="1215">
        <v>39853</v>
      </c>
      <c r="H14" s="1159">
        <v>0</v>
      </c>
      <c r="I14" s="407">
        <f t="shared" si="0"/>
        <v>0</v>
      </c>
    </row>
    <row r="15" spans="1:10">
      <c r="A15" s="239">
        <f t="shared" ref="A15:A78" si="1">A14+1</f>
        <v>4</v>
      </c>
      <c r="B15" s="117" t="str">
        <f>'Wrksht. H, CWIP Desc. EKS'!B14</f>
        <v>1070002</v>
      </c>
      <c r="C15" s="9" t="str">
        <f>'Wrksht. H, CWIP Desc. EKS'!C14</f>
        <v>JEC0610127</v>
      </c>
      <c r="D15" s="1159">
        <v>16646580.449999999</v>
      </c>
      <c r="E15" s="131">
        <f>'Wrksht. H, CWIP Desc. EKS'!D14</f>
        <v>0</v>
      </c>
      <c r="F15" s="1158">
        <v>40057</v>
      </c>
      <c r="G15" s="1215">
        <v>39912</v>
      </c>
      <c r="H15" s="1159">
        <v>0</v>
      </c>
      <c r="I15" s="407">
        <f t="shared" si="0"/>
        <v>0</v>
      </c>
    </row>
    <row r="16" spans="1:10">
      <c r="A16" s="239">
        <f t="shared" si="1"/>
        <v>5</v>
      </c>
      <c r="B16" s="117" t="str">
        <f>'Wrksht. H, CWIP Desc. EKS'!B15</f>
        <v>1070002</v>
      </c>
      <c r="C16" s="9" t="str">
        <f>'Wrksht. H, CWIP Desc. EKS'!C15</f>
        <v>JEC0611677</v>
      </c>
      <c r="D16" s="1159">
        <v>-909.89</v>
      </c>
      <c r="E16" s="131">
        <f>'Wrksht. H, CWIP Desc. EKS'!D15</f>
        <v>0</v>
      </c>
      <c r="F16" s="1158">
        <v>40057</v>
      </c>
      <c r="G16" s="1159" t="s">
        <v>1069</v>
      </c>
      <c r="H16" s="1159">
        <v>0</v>
      </c>
      <c r="I16" s="407">
        <f t="shared" si="0"/>
        <v>0</v>
      </c>
    </row>
    <row r="17" spans="1:9">
      <c r="A17" s="239">
        <f t="shared" si="1"/>
        <v>6</v>
      </c>
      <c r="B17" s="117" t="str">
        <f>'Wrksht. H, CWIP Desc. EKS'!B16</f>
        <v>1070002</v>
      </c>
      <c r="C17" s="9" t="str">
        <f>'Wrksht. H, CWIP Desc. EKS'!C16</f>
        <v>JEC0700624</v>
      </c>
      <c r="D17" s="1159">
        <v>612.77</v>
      </c>
      <c r="E17" s="131">
        <f>'Wrksht. H, CWIP Desc. EKS'!D16</f>
        <v>0</v>
      </c>
      <c r="F17" s="1158">
        <v>40057</v>
      </c>
      <c r="G17" s="1215">
        <v>39417</v>
      </c>
      <c r="H17" s="1159">
        <v>0</v>
      </c>
      <c r="I17" s="407">
        <f t="shared" si="0"/>
        <v>0</v>
      </c>
    </row>
    <row r="18" spans="1:9">
      <c r="A18" s="239">
        <f t="shared" si="1"/>
        <v>7</v>
      </c>
      <c r="B18" s="117" t="str">
        <f>'Wrksht. H, CWIP Desc. EKS'!B17</f>
        <v>1070002</v>
      </c>
      <c r="C18" s="9" t="str">
        <f>'Wrksht. H, CWIP Desc. EKS'!C17</f>
        <v>JEC0701131</v>
      </c>
      <c r="D18" s="1159">
        <v>4395823</v>
      </c>
      <c r="E18" s="131">
        <f>'Wrksht. H, CWIP Desc. EKS'!D17</f>
        <v>0</v>
      </c>
      <c r="F18" s="1158">
        <v>40057</v>
      </c>
      <c r="G18" s="1158">
        <v>41071</v>
      </c>
      <c r="H18" s="1159">
        <v>0</v>
      </c>
      <c r="I18" s="407">
        <f>IF((E18-H18)&lt;=1000000,-H18,E18-H18)</f>
        <v>0</v>
      </c>
    </row>
    <row r="19" spans="1:9">
      <c r="A19" s="239">
        <f t="shared" si="1"/>
        <v>8</v>
      </c>
      <c r="B19" s="117" t="str">
        <f>'Wrksht. H, CWIP Desc. EKS'!B18</f>
        <v>1070002</v>
      </c>
      <c r="C19" s="9" t="str">
        <f>'Wrksht. H, CWIP Desc. EKS'!C18</f>
        <v>JEC0701132</v>
      </c>
      <c r="D19" s="1159">
        <v>8326904.21</v>
      </c>
      <c r="E19" s="131">
        <f>'Wrksht. H, CWIP Desc. EKS'!D18</f>
        <v>0</v>
      </c>
      <c r="F19" s="1158">
        <v>40057</v>
      </c>
      <c r="G19" s="1216">
        <v>39822</v>
      </c>
      <c r="H19" s="1159">
        <v>0</v>
      </c>
      <c r="I19" s="407">
        <f t="shared" ref="I19:I82" si="2">IF((E19-H19)&lt;=1000000,-H19,E19-H19)</f>
        <v>0</v>
      </c>
    </row>
    <row r="20" spans="1:9">
      <c r="A20" s="239">
        <f t="shared" si="1"/>
        <v>9</v>
      </c>
      <c r="B20" s="117" t="str">
        <f>'Wrksht. H, CWIP Desc. EKS'!B19</f>
        <v>1070002</v>
      </c>
      <c r="C20" s="9" t="str">
        <f>'Wrksht. H, CWIP Desc. EKS'!C19</f>
        <v>JEC0704255</v>
      </c>
      <c r="D20" s="1159">
        <v>143826.35999999999</v>
      </c>
      <c r="E20" s="131">
        <f>'Wrksht. H, CWIP Desc. EKS'!D19</f>
        <v>0</v>
      </c>
      <c r="F20" s="1158">
        <v>40057</v>
      </c>
      <c r="G20" s="1216">
        <v>39508</v>
      </c>
      <c r="H20" s="1159">
        <v>0</v>
      </c>
      <c r="I20" s="407">
        <f t="shared" si="2"/>
        <v>0</v>
      </c>
    </row>
    <row r="21" spans="1:9">
      <c r="A21" s="239">
        <f t="shared" si="1"/>
        <v>10</v>
      </c>
      <c r="B21" s="117" t="str">
        <f>'Wrksht. H, CWIP Desc. EKS'!B20</f>
        <v>1070002</v>
      </c>
      <c r="C21" s="9" t="str">
        <f>'Wrksht. H, CWIP Desc. EKS'!C20</f>
        <v>JEC0704873</v>
      </c>
      <c r="D21" s="1159">
        <v>-1995.51</v>
      </c>
      <c r="E21" s="131">
        <f>'Wrksht. H, CWIP Desc. EKS'!D20</f>
        <v>0</v>
      </c>
      <c r="F21" s="1158">
        <v>40057</v>
      </c>
      <c r="G21" s="1159" t="s">
        <v>1069</v>
      </c>
      <c r="H21" s="1159">
        <v>0</v>
      </c>
      <c r="I21" s="407">
        <f t="shared" si="2"/>
        <v>0</v>
      </c>
    </row>
    <row r="22" spans="1:9">
      <c r="A22" s="239">
        <f t="shared" si="1"/>
        <v>11</v>
      </c>
      <c r="B22" s="117" t="str">
        <f>'Wrksht. H, CWIP Desc. EKS'!B21</f>
        <v>1070002</v>
      </c>
      <c r="C22" s="9" t="str">
        <f>'Wrksht. H, CWIP Desc. EKS'!C21</f>
        <v>JEC0706539</v>
      </c>
      <c r="D22" s="1159">
        <v>-1271.2</v>
      </c>
      <c r="E22" s="131">
        <f>'Wrksht. H, CWIP Desc. EKS'!D21</f>
        <v>0</v>
      </c>
      <c r="F22" s="1158">
        <v>40057</v>
      </c>
      <c r="G22" s="1159" t="s">
        <v>1069</v>
      </c>
      <c r="H22" s="1159">
        <v>0</v>
      </c>
      <c r="I22" s="407">
        <f t="shared" si="2"/>
        <v>0</v>
      </c>
    </row>
    <row r="23" spans="1:9">
      <c r="A23" s="239">
        <f t="shared" si="1"/>
        <v>12</v>
      </c>
      <c r="B23" s="117" t="str">
        <f>'Wrksht. H, CWIP Desc. EKS'!B22</f>
        <v>1070002</v>
      </c>
      <c r="C23" s="9" t="str">
        <f>'Wrksht. H, CWIP Desc. EKS'!C22</f>
        <v>JEC0706838</v>
      </c>
      <c r="D23" s="1159">
        <v>68787.12</v>
      </c>
      <c r="E23" s="131">
        <f>'Wrksht. H, CWIP Desc. EKS'!D22</f>
        <v>0</v>
      </c>
      <c r="F23" s="1158">
        <v>40057</v>
      </c>
      <c r="G23" s="1216">
        <v>39822</v>
      </c>
      <c r="H23" s="1159">
        <v>0</v>
      </c>
      <c r="I23" s="407">
        <f t="shared" si="2"/>
        <v>0</v>
      </c>
    </row>
    <row r="24" spans="1:9">
      <c r="A24" s="239">
        <f t="shared" si="1"/>
        <v>13</v>
      </c>
      <c r="B24" s="117" t="str">
        <f>'Wrksht. H, CWIP Desc. EKS'!B23</f>
        <v>1070002</v>
      </c>
      <c r="C24" s="9" t="str">
        <f>'Wrksht. H, CWIP Desc. EKS'!C23</f>
        <v>JEC0707476</v>
      </c>
      <c r="D24" s="1159">
        <v>43589.71</v>
      </c>
      <c r="E24" s="131">
        <f>'Wrksht. H, CWIP Desc. EKS'!D23</f>
        <v>0</v>
      </c>
      <c r="F24" s="1158">
        <v>40057</v>
      </c>
      <c r="G24" s="1216">
        <v>39822</v>
      </c>
      <c r="H24" s="1159">
        <v>0</v>
      </c>
      <c r="I24" s="407">
        <f t="shared" si="2"/>
        <v>0</v>
      </c>
    </row>
    <row r="25" spans="1:9">
      <c r="A25" s="239">
        <f t="shared" si="1"/>
        <v>14</v>
      </c>
      <c r="B25" s="117" t="str">
        <f>'Wrksht. H, CWIP Desc. EKS'!B24</f>
        <v>1070002</v>
      </c>
      <c r="C25" s="9" t="str">
        <f>'Wrksht. H, CWIP Desc. EKS'!C24</f>
        <v>JEC0709637</v>
      </c>
      <c r="D25" s="1159">
        <v>3198025.29</v>
      </c>
      <c r="E25" s="131">
        <f>'Wrksht. H, CWIP Desc. EKS'!D24</f>
        <v>0</v>
      </c>
      <c r="F25" s="1158">
        <v>40057</v>
      </c>
      <c r="G25" s="1216">
        <v>39822</v>
      </c>
      <c r="H25" s="1159">
        <v>0</v>
      </c>
      <c r="I25" s="407">
        <f t="shared" si="2"/>
        <v>0</v>
      </c>
    </row>
    <row r="26" spans="1:9">
      <c r="A26" s="239">
        <f t="shared" si="1"/>
        <v>15</v>
      </c>
      <c r="B26" s="117" t="str">
        <f>'Wrksht. H, CWIP Desc. EKS'!B25</f>
        <v>1070002</v>
      </c>
      <c r="C26" s="9" t="str">
        <f>'Wrksht. H, CWIP Desc. EKS'!C25</f>
        <v>JEC0713055</v>
      </c>
      <c r="D26" s="1159">
        <v>56979.11</v>
      </c>
      <c r="E26" s="131">
        <f>'Wrksht. H, CWIP Desc. EKS'!D25</f>
        <v>0</v>
      </c>
      <c r="F26" s="1158">
        <v>40057</v>
      </c>
      <c r="G26" s="1216">
        <v>39822</v>
      </c>
      <c r="H26" s="1159">
        <v>0</v>
      </c>
      <c r="I26" s="407">
        <f t="shared" si="2"/>
        <v>0</v>
      </c>
    </row>
    <row r="27" spans="1:9">
      <c r="A27" s="239">
        <f t="shared" si="1"/>
        <v>16</v>
      </c>
      <c r="B27" s="117" t="str">
        <f>'Wrksht. H, CWIP Desc. EKS'!B26</f>
        <v>1070002</v>
      </c>
      <c r="C27" s="9" t="str">
        <f>'Wrksht. H, CWIP Desc. EKS'!C26</f>
        <v>JEC0713521</v>
      </c>
      <c r="D27" s="1159">
        <v>81296.56</v>
      </c>
      <c r="E27" s="131">
        <f>'Wrksht. H, CWIP Desc. EKS'!D26</f>
        <v>0</v>
      </c>
      <c r="F27" s="1158">
        <v>40057</v>
      </c>
      <c r="G27" s="1216">
        <v>39822</v>
      </c>
      <c r="H27" s="1159">
        <v>0</v>
      </c>
      <c r="I27" s="407">
        <f t="shared" si="2"/>
        <v>0</v>
      </c>
    </row>
    <row r="28" spans="1:9">
      <c r="A28" s="239">
        <f t="shared" si="1"/>
        <v>17</v>
      </c>
      <c r="B28" s="117" t="str">
        <f>'Wrksht. H, CWIP Desc. EKS'!B27</f>
        <v>1070002</v>
      </c>
      <c r="C28" s="9" t="str">
        <f>'Wrksht. H, CWIP Desc. EKS'!C27</f>
        <v>JEC0713578</v>
      </c>
      <c r="D28" s="1159">
        <v>49755.48</v>
      </c>
      <c r="E28" s="131">
        <f>'Wrksht. H, CWIP Desc. EKS'!D27</f>
        <v>0</v>
      </c>
      <c r="F28" s="1158">
        <v>40057</v>
      </c>
      <c r="G28" s="1216">
        <v>39822</v>
      </c>
      <c r="H28" s="1159">
        <v>0</v>
      </c>
      <c r="I28" s="407">
        <f t="shared" si="2"/>
        <v>0</v>
      </c>
    </row>
    <row r="29" spans="1:9">
      <c r="A29" s="239">
        <f t="shared" si="1"/>
        <v>18</v>
      </c>
      <c r="B29" s="117" t="str">
        <f>'Wrksht. H, CWIP Desc. EKS'!B28</f>
        <v>1070002</v>
      </c>
      <c r="C29" s="9" t="str">
        <f>'Wrksht. H, CWIP Desc. EKS'!C28</f>
        <v>JEC0719212</v>
      </c>
      <c r="D29" s="1159">
        <v>365795.56</v>
      </c>
      <c r="E29" s="131">
        <f>'Wrksht. H, CWIP Desc. EKS'!D28</f>
        <v>0</v>
      </c>
      <c r="F29" s="1158">
        <v>40057</v>
      </c>
      <c r="G29" s="1216">
        <v>39822</v>
      </c>
      <c r="H29" s="1159">
        <v>0</v>
      </c>
      <c r="I29" s="407">
        <f t="shared" si="2"/>
        <v>0</v>
      </c>
    </row>
    <row r="30" spans="1:9">
      <c r="A30" s="239">
        <f t="shared" si="1"/>
        <v>19</v>
      </c>
      <c r="B30" s="117" t="str">
        <f>'Wrksht. H, CWIP Desc. EKS'!B29</f>
        <v>1070002</v>
      </c>
      <c r="C30" s="9" t="str">
        <f>'Wrksht. H, CWIP Desc. EKS'!C29</f>
        <v>JEC0719280</v>
      </c>
      <c r="D30" s="1159">
        <v>24128.68</v>
      </c>
      <c r="E30" s="131">
        <f>'Wrksht. H, CWIP Desc. EKS'!D29</f>
        <v>0</v>
      </c>
      <c r="F30" s="1158">
        <v>40057</v>
      </c>
      <c r="G30" s="1216">
        <v>39822</v>
      </c>
      <c r="H30" s="1159">
        <v>0</v>
      </c>
      <c r="I30" s="407">
        <f t="shared" si="2"/>
        <v>0</v>
      </c>
    </row>
    <row r="31" spans="1:9">
      <c r="A31" s="239">
        <f t="shared" si="1"/>
        <v>20</v>
      </c>
      <c r="B31" s="117" t="str">
        <f>'Wrksht. H, CWIP Desc. EKS'!B30</f>
        <v>1070002</v>
      </c>
      <c r="C31" s="9" t="str">
        <f>'Wrksht. H, CWIP Desc. EKS'!C30</f>
        <v>JEC0720833</v>
      </c>
      <c r="D31" s="1159">
        <v>168489.49</v>
      </c>
      <c r="E31" s="131">
        <f>'Wrksht. H, CWIP Desc. EKS'!D30</f>
        <v>0</v>
      </c>
      <c r="F31" s="1158">
        <v>40057</v>
      </c>
      <c r="G31" s="1216">
        <v>39822</v>
      </c>
      <c r="H31" s="1159">
        <v>0</v>
      </c>
      <c r="I31" s="407">
        <f t="shared" si="2"/>
        <v>0</v>
      </c>
    </row>
    <row r="32" spans="1:9">
      <c r="A32" s="239">
        <f t="shared" si="1"/>
        <v>21</v>
      </c>
      <c r="B32" s="117" t="str">
        <f>'Wrksht. H, CWIP Desc. EKS'!B31</f>
        <v>1070002</v>
      </c>
      <c r="C32" s="9" t="str">
        <f>'Wrksht. H, CWIP Desc. EKS'!C31</f>
        <v>JEC0800819</v>
      </c>
      <c r="D32" s="1159">
        <v>165391.49</v>
      </c>
      <c r="E32" s="131">
        <f>'Wrksht. H, CWIP Desc. EKS'!D31</f>
        <v>0</v>
      </c>
      <c r="F32" s="1158">
        <v>40057</v>
      </c>
      <c r="G32" s="1320">
        <v>39884</v>
      </c>
      <c r="H32" s="1159">
        <v>0</v>
      </c>
      <c r="I32" s="407">
        <f t="shared" si="2"/>
        <v>0</v>
      </c>
    </row>
    <row r="33" spans="1:9">
      <c r="A33" s="239">
        <f t="shared" si="1"/>
        <v>22</v>
      </c>
      <c r="B33" s="117" t="str">
        <f>'Wrksht. H, CWIP Desc. EKS'!B32</f>
        <v>1070002</v>
      </c>
      <c r="C33" s="9" t="str">
        <f>'Wrksht. H, CWIP Desc. EKS'!C32</f>
        <v>JEC0800940</v>
      </c>
      <c r="D33" s="1159">
        <v>274126.89</v>
      </c>
      <c r="E33" s="131">
        <f>'Wrksht. H, CWIP Desc. EKS'!D32</f>
        <v>0</v>
      </c>
      <c r="F33" s="1158">
        <v>40057</v>
      </c>
      <c r="G33" s="1321">
        <v>39822</v>
      </c>
      <c r="H33" s="1159">
        <v>0</v>
      </c>
      <c r="I33" s="407">
        <f t="shared" si="2"/>
        <v>0</v>
      </c>
    </row>
    <row r="34" spans="1:9">
      <c r="A34" s="239">
        <f t="shared" si="1"/>
        <v>23</v>
      </c>
      <c r="B34" s="117" t="str">
        <f>'Wrksht. H, CWIP Desc. EKS'!B33</f>
        <v>1070002</v>
      </c>
      <c r="C34" s="9" t="str">
        <f>'Wrksht. H, CWIP Desc. EKS'!C33</f>
        <v>JEC0801636</v>
      </c>
      <c r="D34" s="1159">
        <v>976175.62</v>
      </c>
      <c r="E34" s="131">
        <f>'Wrksht. H, CWIP Desc. EKS'!D33</f>
        <v>0</v>
      </c>
      <c r="F34" s="1158">
        <v>40057</v>
      </c>
      <c r="G34" s="1321">
        <v>39822</v>
      </c>
      <c r="H34" s="1159">
        <v>0</v>
      </c>
      <c r="I34" s="407">
        <f t="shared" si="2"/>
        <v>0</v>
      </c>
    </row>
    <row r="35" spans="1:9">
      <c r="A35" s="239">
        <f t="shared" si="1"/>
        <v>24</v>
      </c>
      <c r="B35" s="117" t="str">
        <f>'Wrksht. H, CWIP Desc. EKS'!B34</f>
        <v>1070002</v>
      </c>
      <c r="C35" s="9" t="str">
        <f>'Wrksht. H, CWIP Desc. EKS'!C34</f>
        <v>JEC0802554</v>
      </c>
      <c r="D35" s="1159">
        <v>24812.54</v>
      </c>
      <c r="E35" s="131">
        <f>'Wrksht. H, CWIP Desc. EKS'!D34</f>
        <v>0</v>
      </c>
      <c r="F35" s="1158">
        <v>40057</v>
      </c>
      <c r="G35" s="1321">
        <v>39853</v>
      </c>
      <c r="H35" s="1159">
        <v>0</v>
      </c>
      <c r="I35" s="407">
        <f t="shared" si="2"/>
        <v>0</v>
      </c>
    </row>
    <row r="36" spans="1:9">
      <c r="A36" s="239">
        <f t="shared" si="1"/>
        <v>25</v>
      </c>
      <c r="B36" s="117" t="str">
        <f>'Wrksht. H, CWIP Desc. EKS'!B35</f>
        <v>1070002</v>
      </c>
      <c r="C36" s="9" t="str">
        <f>'Wrksht. H, CWIP Desc. EKS'!C35</f>
        <v>JEC0802555</v>
      </c>
      <c r="D36" s="1159">
        <v>7805.83</v>
      </c>
      <c r="E36" s="131">
        <f>'Wrksht. H, CWIP Desc. EKS'!D35</f>
        <v>0</v>
      </c>
      <c r="F36" s="1158">
        <v>40057</v>
      </c>
      <c r="G36" s="1321">
        <v>39822</v>
      </c>
      <c r="H36" s="1159">
        <v>0</v>
      </c>
      <c r="I36" s="407">
        <f t="shared" si="2"/>
        <v>0</v>
      </c>
    </row>
    <row r="37" spans="1:9">
      <c r="A37" s="239">
        <f t="shared" si="1"/>
        <v>26</v>
      </c>
      <c r="B37" s="117" t="str">
        <f>'Wrksht. H, CWIP Desc. EKS'!B36</f>
        <v>1070002</v>
      </c>
      <c r="C37" s="9" t="str">
        <f>'Wrksht. H, CWIP Desc. EKS'!C36</f>
        <v>JEC0802916</v>
      </c>
      <c r="D37" s="1159">
        <v>0</v>
      </c>
      <c r="E37" s="131">
        <f>'Wrksht. H, CWIP Desc. EKS'!D36</f>
        <v>0</v>
      </c>
      <c r="F37" s="1158">
        <v>40057</v>
      </c>
      <c r="G37" s="1322" t="s">
        <v>1069</v>
      </c>
      <c r="H37" s="1159">
        <v>0</v>
      </c>
      <c r="I37" s="407">
        <f t="shared" si="2"/>
        <v>0</v>
      </c>
    </row>
    <row r="38" spans="1:9">
      <c r="A38" s="239">
        <f t="shared" si="1"/>
        <v>27</v>
      </c>
      <c r="B38" s="117" t="str">
        <f>'Wrksht. H, CWIP Desc. EKS'!B37</f>
        <v>1070002</v>
      </c>
      <c r="C38" s="9" t="str">
        <f>'Wrksht. H, CWIP Desc. EKS'!C37</f>
        <v>JEC0806089</v>
      </c>
      <c r="D38" s="1159">
        <v>0</v>
      </c>
      <c r="E38" s="131">
        <f>'Wrksht. H, CWIP Desc. EKS'!D37</f>
        <v>0</v>
      </c>
      <c r="F38" s="1158">
        <v>40057</v>
      </c>
      <c r="G38" s="1322" t="s">
        <v>1069</v>
      </c>
      <c r="H38" s="1159">
        <v>0</v>
      </c>
      <c r="I38" s="407">
        <f t="shared" si="2"/>
        <v>0</v>
      </c>
    </row>
    <row r="39" spans="1:9">
      <c r="A39" s="239">
        <f t="shared" si="1"/>
        <v>28</v>
      </c>
      <c r="B39" s="117" t="str">
        <f>'Wrksht. H, CWIP Desc. EKS'!B38</f>
        <v>1070002</v>
      </c>
      <c r="C39" s="9" t="str">
        <f>'Wrksht. H, CWIP Desc. EKS'!C38</f>
        <v>JEC0806112</v>
      </c>
      <c r="D39" s="1159">
        <v>0</v>
      </c>
      <c r="E39" s="131">
        <f>'Wrksht. H, CWIP Desc. EKS'!D38</f>
        <v>0</v>
      </c>
      <c r="F39" s="1158">
        <v>40057</v>
      </c>
      <c r="G39" s="1320" t="s">
        <v>998</v>
      </c>
      <c r="H39" s="1159">
        <v>0</v>
      </c>
      <c r="I39" s="407">
        <f t="shared" si="2"/>
        <v>0</v>
      </c>
    </row>
    <row r="40" spans="1:9">
      <c r="A40" s="239">
        <f t="shared" si="1"/>
        <v>29</v>
      </c>
      <c r="B40" s="117" t="str">
        <f>'Wrksht. H, CWIP Desc. EKS'!B39</f>
        <v>1070002</v>
      </c>
      <c r="C40" s="9" t="str">
        <f>'Wrksht. H, CWIP Desc. EKS'!C39</f>
        <v>JEC0806127</v>
      </c>
      <c r="D40" s="1159">
        <v>54258.98</v>
      </c>
      <c r="E40" s="131">
        <f>'Wrksht. H, CWIP Desc. EKS'!D39</f>
        <v>0</v>
      </c>
      <c r="F40" s="1158">
        <v>40057</v>
      </c>
      <c r="G40" s="1321">
        <v>39822</v>
      </c>
      <c r="H40" s="1159">
        <v>0</v>
      </c>
      <c r="I40" s="407">
        <f t="shared" si="2"/>
        <v>0</v>
      </c>
    </row>
    <row r="41" spans="1:9">
      <c r="A41" s="239">
        <f t="shared" si="1"/>
        <v>30</v>
      </c>
      <c r="B41" s="117" t="str">
        <f>'Wrksht. H, CWIP Desc. EKS'!B40</f>
        <v>1070002</v>
      </c>
      <c r="C41" s="9" t="str">
        <f>'Wrksht. H, CWIP Desc. EKS'!C40</f>
        <v>JEC0806734</v>
      </c>
      <c r="D41" s="1159">
        <v>120484.81</v>
      </c>
      <c r="E41" s="131">
        <f>'Wrksht. H, CWIP Desc. EKS'!D40</f>
        <v>0</v>
      </c>
      <c r="F41" s="1158">
        <v>40057</v>
      </c>
      <c r="G41" s="1321">
        <v>39822</v>
      </c>
      <c r="H41" s="1159">
        <v>0</v>
      </c>
      <c r="I41" s="407">
        <f t="shared" si="2"/>
        <v>0</v>
      </c>
    </row>
    <row r="42" spans="1:9">
      <c r="A42" s="239">
        <f t="shared" si="1"/>
        <v>31</v>
      </c>
      <c r="B42" s="117" t="str">
        <f>'Wrksht. H, CWIP Desc. EKS'!B41</f>
        <v>1070002</v>
      </c>
      <c r="C42" s="9" t="str">
        <f>'Wrksht. H, CWIP Desc. EKS'!C41</f>
        <v>JEC0807532</v>
      </c>
      <c r="D42" s="1159">
        <v>0</v>
      </c>
      <c r="E42" s="131">
        <f>'Wrksht. H, CWIP Desc. EKS'!D41</f>
        <v>0</v>
      </c>
      <c r="F42" s="1158">
        <v>40057</v>
      </c>
      <c r="G42" s="1322" t="s">
        <v>1069</v>
      </c>
      <c r="H42" s="1159">
        <v>0</v>
      </c>
      <c r="I42" s="407">
        <f t="shared" si="2"/>
        <v>0</v>
      </c>
    </row>
    <row r="43" spans="1:9">
      <c r="A43" s="239">
        <f t="shared" si="1"/>
        <v>32</v>
      </c>
      <c r="B43" s="117" t="str">
        <f>'Wrksht. H, CWIP Desc. EKS'!B42</f>
        <v>1070002</v>
      </c>
      <c r="C43" s="9" t="str">
        <f>'Wrksht. H, CWIP Desc. EKS'!C42</f>
        <v>JEC0809051</v>
      </c>
      <c r="D43" s="1159">
        <v>5254.16</v>
      </c>
      <c r="E43" s="131">
        <f>'Wrksht. H, CWIP Desc. EKS'!D42</f>
        <v>0</v>
      </c>
      <c r="F43" s="1158">
        <v>40057</v>
      </c>
      <c r="G43" s="1321">
        <v>39822</v>
      </c>
      <c r="H43" s="1159">
        <v>0</v>
      </c>
      <c r="I43" s="407">
        <f t="shared" si="2"/>
        <v>0</v>
      </c>
    </row>
    <row r="44" spans="1:9">
      <c r="A44" s="239">
        <f t="shared" si="1"/>
        <v>33</v>
      </c>
      <c r="B44" s="117" t="str">
        <f>'Wrksht. H, CWIP Desc. EKS'!B43</f>
        <v>1070002</v>
      </c>
      <c r="C44" s="9" t="str">
        <f>'Wrksht. H, CWIP Desc. EKS'!C43</f>
        <v>JEC0810415</v>
      </c>
      <c r="D44" s="1159">
        <v>2128.2600000000002</v>
      </c>
      <c r="E44" s="131">
        <f>'Wrksht. H, CWIP Desc. EKS'!D43</f>
        <v>0</v>
      </c>
      <c r="F44" s="1158">
        <v>40057</v>
      </c>
      <c r="G44" s="1321">
        <v>39822</v>
      </c>
      <c r="H44" s="1159">
        <v>0</v>
      </c>
      <c r="I44" s="407">
        <f t="shared" si="2"/>
        <v>0</v>
      </c>
    </row>
    <row r="45" spans="1:9">
      <c r="A45" s="239">
        <f t="shared" si="1"/>
        <v>34</v>
      </c>
      <c r="B45" s="117" t="str">
        <f>'Wrksht. H, CWIP Desc. EKS'!B44</f>
        <v>1070002</v>
      </c>
      <c r="C45" s="9" t="str">
        <f>'Wrksht. H, CWIP Desc. EKS'!C44</f>
        <v>JEC0810709</v>
      </c>
      <c r="D45" s="1159">
        <v>2710.96</v>
      </c>
      <c r="E45" s="131">
        <f>'Wrksht. H, CWIP Desc. EKS'!D44</f>
        <v>0</v>
      </c>
      <c r="F45" s="1158">
        <v>40057</v>
      </c>
      <c r="G45" s="1321">
        <v>39822</v>
      </c>
      <c r="H45" s="1159">
        <v>0</v>
      </c>
      <c r="I45" s="407">
        <f t="shared" si="2"/>
        <v>0</v>
      </c>
    </row>
    <row r="46" spans="1:9">
      <c r="A46" s="239">
        <f t="shared" si="1"/>
        <v>35</v>
      </c>
      <c r="B46" s="117" t="str">
        <f>'Wrksht. H, CWIP Desc. EKS'!B45</f>
        <v>1070002</v>
      </c>
      <c r="C46" s="9" t="str">
        <f>'Wrksht. H, CWIP Desc. EKS'!C45</f>
        <v>JEC0810728</v>
      </c>
      <c r="D46" s="1159">
        <v>66846.789999999994</v>
      </c>
      <c r="E46" s="131">
        <f>'Wrksht. H, CWIP Desc. EKS'!D45</f>
        <v>0</v>
      </c>
      <c r="F46" s="1158">
        <v>40057</v>
      </c>
      <c r="G46" s="1321">
        <v>39822</v>
      </c>
      <c r="H46" s="1159">
        <v>0</v>
      </c>
      <c r="I46" s="407">
        <f t="shared" si="2"/>
        <v>0</v>
      </c>
    </row>
    <row r="47" spans="1:9">
      <c r="A47" s="239">
        <f t="shared" si="1"/>
        <v>36</v>
      </c>
      <c r="B47" s="117" t="str">
        <f>'Wrksht. H, CWIP Desc. EKS'!B46</f>
        <v>1070002</v>
      </c>
      <c r="C47" s="9" t="str">
        <f>'Wrksht. H, CWIP Desc. EKS'!C46</f>
        <v>JEC0812008</v>
      </c>
      <c r="D47" s="1159">
        <v>12526.69</v>
      </c>
      <c r="E47" s="131">
        <f>'Wrksht. H, CWIP Desc. EKS'!D46</f>
        <v>0</v>
      </c>
      <c r="F47" s="1158">
        <v>40057</v>
      </c>
      <c r="G47" s="1321">
        <v>39822</v>
      </c>
      <c r="H47" s="1159">
        <v>0</v>
      </c>
      <c r="I47" s="407">
        <f t="shared" si="2"/>
        <v>0</v>
      </c>
    </row>
    <row r="48" spans="1:9">
      <c r="A48" s="239">
        <f t="shared" si="1"/>
        <v>37</v>
      </c>
      <c r="B48" s="117" t="str">
        <f>'Wrksht. H, CWIP Desc. EKS'!B47</f>
        <v>1070002</v>
      </c>
      <c r="C48" s="9" t="str">
        <f>'Wrksht. H, CWIP Desc. EKS'!C47</f>
        <v>JEC0812402</v>
      </c>
      <c r="D48" s="1159">
        <v>24177.87</v>
      </c>
      <c r="E48" s="131">
        <f>'Wrksht. H, CWIP Desc. EKS'!D47</f>
        <v>0</v>
      </c>
      <c r="F48" s="1158">
        <v>40057</v>
      </c>
      <c r="G48" s="1321">
        <v>39822</v>
      </c>
      <c r="H48" s="1159">
        <v>0</v>
      </c>
      <c r="I48" s="407">
        <f t="shared" si="2"/>
        <v>0</v>
      </c>
    </row>
    <row r="49" spans="1:9">
      <c r="A49" s="239">
        <f t="shared" si="1"/>
        <v>38</v>
      </c>
      <c r="B49" s="117" t="str">
        <f>'Wrksht. H, CWIP Desc. EKS'!B48</f>
        <v>1070002</v>
      </c>
      <c r="C49" s="9" t="str">
        <f>'Wrksht. H, CWIP Desc. EKS'!C48</f>
        <v>JEC0813049</v>
      </c>
      <c r="D49" s="1159">
        <v>25593.599999999999</v>
      </c>
      <c r="E49" s="131">
        <f>'Wrksht. H, CWIP Desc. EKS'!D48</f>
        <v>0</v>
      </c>
      <c r="F49" s="1158">
        <v>40057</v>
      </c>
      <c r="G49" s="1321">
        <v>39853</v>
      </c>
      <c r="H49" s="1159">
        <v>0</v>
      </c>
      <c r="I49" s="407">
        <f t="shared" si="2"/>
        <v>0</v>
      </c>
    </row>
    <row r="50" spans="1:9">
      <c r="A50" s="239">
        <f t="shared" si="1"/>
        <v>39</v>
      </c>
      <c r="B50" s="117" t="str">
        <f>'Wrksht. H, CWIP Desc. EKS'!B49</f>
        <v>1070002</v>
      </c>
      <c r="C50" s="9" t="str">
        <f>'Wrksht. H, CWIP Desc. EKS'!C49</f>
        <v>JEC0814618</v>
      </c>
      <c r="D50" s="1159">
        <v>2234.23</v>
      </c>
      <c r="E50" s="131">
        <f>'Wrksht. H, CWIP Desc. EKS'!D49</f>
        <v>0</v>
      </c>
      <c r="F50" s="1158">
        <v>40057</v>
      </c>
      <c r="G50" s="1321">
        <v>39822</v>
      </c>
      <c r="H50" s="1159">
        <v>0</v>
      </c>
      <c r="I50" s="407">
        <f t="shared" si="2"/>
        <v>0</v>
      </c>
    </row>
    <row r="51" spans="1:9">
      <c r="A51" s="239">
        <f t="shared" si="1"/>
        <v>40</v>
      </c>
      <c r="B51" s="117" t="str">
        <f>'Wrksht. H, CWIP Desc. EKS'!B50</f>
        <v>1070002</v>
      </c>
      <c r="C51" s="9" t="str">
        <f>'Wrksht. H, CWIP Desc. EKS'!C50</f>
        <v>JEC0818019</v>
      </c>
      <c r="D51" s="1159">
        <v>13.74</v>
      </c>
      <c r="E51" s="131">
        <f>'Wrksht. H, CWIP Desc. EKS'!D50</f>
        <v>0</v>
      </c>
      <c r="F51" s="1158">
        <v>40057</v>
      </c>
      <c r="G51" s="1321">
        <v>39761</v>
      </c>
      <c r="H51" s="1159">
        <v>0</v>
      </c>
      <c r="I51" s="407">
        <f t="shared" si="2"/>
        <v>0</v>
      </c>
    </row>
    <row r="52" spans="1:9">
      <c r="A52" s="239">
        <f t="shared" si="1"/>
        <v>41</v>
      </c>
      <c r="B52" s="117" t="str">
        <f>'Wrksht. H, CWIP Desc. EKS'!B51</f>
        <v>1070002</v>
      </c>
      <c r="C52" s="9" t="str">
        <f>'Wrksht. H, CWIP Desc. EKS'!C51</f>
        <v>JEC0818640</v>
      </c>
      <c r="D52" s="1159">
        <v>124804.99</v>
      </c>
      <c r="E52" s="131">
        <f>'Wrksht. H, CWIP Desc. EKS'!D51</f>
        <v>0</v>
      </c>
      <c r="F52" s="1158">
        <v>40057</v>
      </c>
      <c r="G52" s="1320">
        <v>40086</v>
      </c>
      <c r="H52" s="1159">
        <v>0</v>
      </c>
      <c r="I52" s="407">
        <f t="shared" si="2"/>
        <v>0</v>
      </c>
    </row>
    <row r="53" spans="1:9">
      <c r="A53" s="239">
        <f t="shared" si="1"/>
        <v>42</v>
      </c>
      <c r="B53" s="117" t="str">
        <f>'Wrksht. H, CWIP Desc. EKS'!B52</f>
        <v>1070002</v>
      </c>
      <c r="C53" s="9" t="str">
        <f>'Wrksht. H, CWIP Desc. EKS'!C52</f>
        <v>JEC0818707</v>
      </c>
      <c r="D53" s="1159">
        <v>7363.49</v>
      </c>
      <c r="E53" s="131">
        <f>'Wrksht. H, CWIP Desc. EKS'!D52</f>
        <v>0</v>
      </c>
      <c r="F53" s="1158">
        <v>40057</v>
      </c>
      <c r="G53" s="1322" t="s">
        <v>1069</v>
      </c>
      <c r="H53" s="1159">
        <v>0</v>
      </c>
      <c r="I53" s="407">
        <f t="shared" si="2"/>
        <v>0</v>
      </c>
    </row>
    <row r="54" spans="1:9">
      <c r="A54" s="239">
        <f t="shared" si="1"/>
        <v>43</v>
      </c>
      <c r="B54" s="117" t="str">
        <f>'Wrksht. H, CWIP Desc. EKS'!B53</f>
        <v>1070002</v>
      </c>
      <c r="C54" s="9" t="str">
        <f>'Wrksht. H, CWIP Desc. EKS'!C53</f>
        <v>JEC0818835</v>
      </c>
      <c r="D54" s="1159">
        <v>77.28</v>
      </c>
      <c r="E54" s="131">
        <f>'Wrksht. H, CWIP Desc. EKS'!D53</f>
        <v>0</v>
      </c>
      <c r="F54" s="1158">
        <v>40057</v>
      </c>
      <c r="G54" s="1323" t="s">
        <v>1069</v>
      </c>
      <c r="H54" s="1159">
        <v>0</v>
      </c>
      <c r="I54" s="407">
        <f t="shared" si="2"/>
        <v>0</v>
      </c>
    </row>
    <row r="55" spans="1:9">
      <c r="A55" s="239">
        <f t="shared" si="1"/>
        <v>44</v>
      </c>
      <c r="B55" s="117" t="str">
        <f>'Wrksht. H, CWIP Desc. EKS'!B54</f>
        <v>1070002</v>
      </c>
      <c r="C55" s="9" t="str">
        <f>'Wrksht. H, CWIP Desc. EKS'!C54</f>
        <v>JEC0819882</v>
      </c>
      <c r="D55" s="1159">
        <v>12052399.23</v>
      </c>
      <c r="E55" s="131">
        <f>'Wrksht. H, CWIP Desc. EKS'!D54</f>
        <v>0</v>
      </c>
      <c r="F55" s="1158">
        <v>40057</v>
      </c>
      <c r="G55" s="1321">
        <v>39853</v>
      </c>
      <c r="H55" s="1159">
        <v>0</v>
      </c>
      <c r="I55" s="407">
        <f t="shared" si="2"/>
        <v>0</v>
      </c>
    </row>
    <row r="56" spans="1:9">
      <c r="A56" s="239">
        <f t="shared" si="1"/>
        <v>45</v>
      </c>
      <c r="B56" s="117" t="str">
        <f>'Wrksht. H, CWIP Desc. EKS'!B55</f>
        <v>1070002</v>
      </c>
      <c r="C56" s="9" t="str">
        <f>'Wrksht. H, CWIP Desc. EKS'!C55</f>
        <v>JEC0820631</v>
      </c>
      <c r="D56" s="1159">
        <v>0</v>
      </c>
      <c r="E56" s="131">
        <f>'Wrksht. H, CWIP Desc. EKS'!D55</f>
        <v>0</v>
      </c>
      <c r="F56" s="1158">
        <v>40057</v>
      </c>
      <c r="G56" s="1322" t="s">
        <v>1069</v>
      </c>
      <c r="H56" s="1159">
        <v>0</v>
      </c>
      <c r="I56" s="407">
        <f t="shared" si="2"/>
        <v>0</v>
      </c>
    </row>
    <row r="57" spans="1:9">
      <c r="A57" s="239">
        <f t="shared" si="1"/>
        <v>46</v>
      </c>
      <c r="B57" s="117" t="str">
        <f>'Wrksht. H, CWIP Desc. EKS'!B56</f>
        <v>1070002</v>
      </c>
      <c r="C57" s="9" t="str">
        <f>'Wrksht. H, CWIP Desc. EKS'!C56</f>
        <v>A30042</v>
      </c>
      <c r="D57" s="1159">
        <v>2035.11</v>
      </c>
      <c r="E57" s="131">
        <f>'Wrksht. H, CWIP Desc. EKS'!D56</f>
        <v>0</v>
      </c>
      <c r="F57" s="1158">
        <v>40057</v>
      </c>
      <c r="G57" s="1321">
        <v>39912</v>
      </c>
      <c r="H57" s="1159">
        <v>0</v>
      </c>
      <c r="I57" s="407">
        <f t="shared" si="2"/>
        <v>0</v>
      </c>
    </row>
    <row r="58" spans="1:9">
      <c r="A58" s="239">
        <f t="shared" si="1"/>
        <v>47</v>
      </c>
      <c r="B58" s="117" t="str">
        <f>'Wrksht. H, CWIP Desc. EKS'!B57</f>
        <v>1070002</v>
      </c>
      <c r="C58" s="9" t="str">
        <f>'Wrksht. H, CWIP Desc. EKS'!C57</f>
        <v>EEC0600757</v>
      </c>
      <c r="D58" s="1159">
        <v>30256.37</v>
      </c>
      <c r="E58" s="131">
        <f>'Wrksht. H, CWIP Desc. EKS'!D57</f>
        <v>0</v>
      </c>
      <c r="F58" s="1158">
        <v>40057</v>
      </c>
      <c r="G58" s="1321">
        <v>40056</v>
      </c>
      <c r="H58" s="1159">
        <v>0</v>
      </c>
      <c r="I58" s="407">
        <f t="shared" si="2"/>
        <v>0</v>
      </c>
    </row>
    <row r="59" spans="1:9">
      <c r="A59" s="239">
        <f t="shared" si="1"/>
        <v>48</v>
      </c>
      <c r="B59" s="117" t="str">
        <f>'Wrksht. H, CWIP Desc. EKS'!B58</f>
        <v>1070002</v>
      </c>
      <c r="C59" s="9" t="str">
        <f>'Wrksht. H, CWIP Desc. EKS'!C58</f>
        <v>EEC0600758</v>
      </c>
      <c r="D59" s="1159">
        <v>33463.79</v>
      </c>
      <c r="E59" s="131">
        <f>'Wrksht. H, CWIP Desc. EKS'!D58</f>
        <v>0</v>
      </c>
      <c r="F59" s="1158">
        <v>40057</v>
      </c>
      <c r="G59" s="1321">
        <v>40056</v>
      </c>
      <c r="H59" s="1159">
        <v>0</v>
      </c>
      <c r="I59" s="407">
        <f t="shared" si="2"/>
        <v>0</v>
      </c>
    </row>
    <row r="60" spans="1:9">
      <c r="A60" s="239">
        <f t="shared" si="1"/>
        <v>49</v>
      </c>
      <c r="B60" s="117" t="str">
        <f>'Wrksht. H, CWIP Desc. EKS'!B59</f>
        <v>1070002</v>
      </c>
      <c r="C60" s="9" t="str">
        <f>'Wrksht. H, CWIP Desc. EKS'!C59</f>
        <v>EEC0705347</v>
      </c>
      <c r="D60" s="1159">
        <v>7289.52</v>
      </c>
      <c r="E60" s="131">
        <f>'Wrksht. H, CWIP Desc. EKS'!D59</f>
        <v>0</v>
      </c>
      <c r="F60" s="1158">
        <v>40057</v>
      </c>
      <c r="G60" s="1321">
        <v>39853</v>
      </c>
      <c r="H60" s="1159">
        <v>0</v>
      </c>
      <c r="I60" s="407">
        <f t="shared" si="2"/>
        <v>0</v>
      </c>
    </row>
    <row r="61" spans="1:9">
      <c r="A61" s="239">
        <f t="shared" si="1"/>
        <v>50</v>
      </c>
      <c r="B61" s="117" t="str">
        <f>'Wrksht. H, CWIP Desc. EKS'!B60</f>
        <v>1070002</v>
      </c>
      <c r="C61" s="9" t="str">
        <f>'Wrksht. H, CWIP Desc. EKS'!C60</f>
        <v>EEC0707015</v>
      </c>
      <c r="D61" s="1159">
        <v>924842.84</v>
      </c>
      <c r="E61" s="131">
        <f>'Wrksht. H, CWIP Desc. EKS'!D60</f>
        <v>0</v>
      </c>
      <c r="F61" s="1158">
        <v>40057</v>
      </c>
      <c r="G61" s="1321">
        <v>39822</v>
      </c>
      <c r="H61" s="1159">
        <v>0</v>
      </c>
      <c r="I61" s="407">
        <f t="shared" si="2"/>
        <v>0</v>
      </c>
    </row>
    <row r="62" spans="1:9">
      <c r="A62" s="239">
        <f t="shared" si="1"/>
        <v>51</v>
      </c>
      <c r="B62" s="117" t="str">
        <f>'Wrksht. H, CWIP Desc. EKS'!B61</f>
        <v>1070002</v>
      </c>
      <c r="C62" s="9" t="str">
        <f>'Wrksht. H, CWIP Desc. EKS'!C61</f>
        <v>EEC0800120</v>
      </c>
      <c r="D62" s="1159">
        <v>2578918.27</v>
      </c>
      <c r="E62" s="131">
        <f>'Wrksht. H, CWIP Desc. EKS'!D61</f>
        <v>0</v>
      </c>
      <c r="F62" s="1158">
        <v>40057</v>
      </c>
      <c r="G62" s="1321">
        <v>39822</v>
      </c>
      <c r="H62" s="1159">
        <v>0</v>
      </c>
      <c r="I62" s="407">
        <f t="shared" si="2"/>
        <v>0</v>
      </c>
    </row>
    <row r="63" spans="1:9">
      <c r="A63" s="239">
        <f t="shared" si="1"/>
        <v>52</v>
      </c>
      <c r="B63" s="117" t="str">
        <f>'Wrksht. H, CWIP Desc. EKS'!B62</f>
        <v>1070002</v>
      </c>
      <c r="C63" s="9" t="str">
        <f>'Wrksht. H, CWIP Desc. EKS'!C62</f>
        <v>EEC0800294</v>
      </c>
      <c r="D63" s="1159">
        <v>91224.29</v>
      </c>
      <c r="E63" s="131">
        <f>'Wrksht. H, CWIP Desc. EKS'!D62</f>
        <v>0</v>
      </c>
      <c r="F63" s="1158">
        <v>40057</v>
      </c>
      <c r="G63" s="1321">
        <v>39822</v>
      </c>
      <c r="H63" s="1159">
        <v>0</v>
      </c>
      <c r="I63" s="407">
        <f t="shared" si="2"/>
        <v>0</v>
      </c>
    </row>
    <row r="64" spans="1:9">
      <c r="A64" s="239">
        <f t="shared" si="1"/>
        <v>53</v>
      </c>
      <c r="B64" s="117" t="str">
        <f>'Wrksht. H, CWIP Desc. EKS'!B63</f>
        <v>1070002</v>
      </c>
      <c r="C64" s="9" t="str">
        <f>'Wrksht. H, CWIP Desc. EKS'!C63</f>
        <v>EEC0800491</v>
      </c>
      <c r="D64" s="1159">
        <v>33471.97</v>
      </c>
      <c r="E64" s="131">
        <f>'Wrksht. H, CWIP Desc. EKS'!D63</f>
        <v>0</v>
      </c>
      <c r="F64" s="1158">
        <v>40057</v>
      </c>
      <c r="G64" s="1321">
        <v>39822</v>
      </c>
      <c r="H64" s="1159">
        <v>0</v>
      </c>
      <c r="I64" s="407">
        <f t="shared" si="2"/>
        <v>0</v>
      </c>
    </row>
    <row r="65" spans="1:9">
      <c r="A65" s="239">
        <f t="shared" si="1"/>
        <v>54</v>
      </c>
      <c r="B65" s="117" t="str">
        <f>'Wrksht. H, CWIP Desc. EKS'!B64</f>
        <v>1070002</v>
      </c>
      <c r="C65" s="9" t="str">
        <f>'Wrksht. H, CWIP Desc. EKS'!C64</f>
        <v>EEC0800569</v>
      </c>
      <c r="D65" s="1159">
        <v>1055.04</v>
      </c>
      <c r="E65" s="131">
        <f>'Wrksht. H, CWIP Desc. EKS'!D64</f>
        <v>0</v>
      </c>
      <c r="F65" s="1158">
        <v>40057</v>
      </c>
      <c r="G65" s="1321">
        <v>39515</v>
      </c>
      <c r="H65" s="1159">
        <v>0</v>
      </c>
      <c r="I65" s="407">
        <f t="shared" si="2"/>
        <v>0</v>
      </c>
    </row>
    <row r="66" spans="1:9">
      <c r="A66" s="239">
        <f t="shared" si="1"/>
        <v>55</v>
      </c>
      <c r="B66" s="117" t="str">
        <f>'Wrksht. H, CWIP Desc. EKS'!B65</f>
        <v>1070002</v>
      </c>
      <c r="C66" s="9" t="str">
        <f>'Wrksht. H, CWIP Desc. EKS'!C65</f>
        <v>EEC0800914</v>
      </c>
      <c r="D66" s="1159">
        <v>221713.4</v>
      </c>
      <c r="E66" s="131">
        <f>'Wrksht. H, CWIP Desc. EKS'!D65</f>
        <v>0</v>
      </c>
      <c r="F66" s="1158">
        <v>40057</v>
      </c>
      <c r="G66" s="1321">
        <v>39853</v>
      </c>
      <c r="H66" s="1159">
        <v>0</v>
      </c>
      <c r="I66" s="407">
        <f t="shared" si="2"/>
        <v>0</v>
      </c>
    </row>
    <row r="67" spans="1:9">
      <c r="A67" s="239">
        <f t="shared" si="1"/>
        <v>56</v>
      </c>
      <c r="B67" s="117" t="str">
        <f>'Wrksht. H, CWIP Desc. EKS'!B66</f>
        <v>1070002</v>
      </c>
      <c r="C67" s="9" t="str">
        <f>'Wrksht. H, CWIP Desc. EKS'!C66</f>
        <v>EEC0800947</v>
      </c>
      <c r="D67" s="1159">
        <v>68289.570000000007</v>
      </c>
      <c r="E67" s="131">
        <f>'Wrksht. H, CWIP Desc. EKS'!D66</f>
        <v>0</v>
      </c>
      <c r="F67" s="1158">
        <v>40057</v>
      </c>
      <c r="G67" s="1321">
        <v>39822</v>
      </c>
      <c r="H67" s="1159">
        <v>0</v>
      </c>
      <c r="I67" s="407">
        <f t="shared" si="2"/>
        <v>0</v>
      </c>
    </row>
    <row r="68" spans="1:9">
      <c r="A68" s="239">
        <f t="shared" si="1"/>
        <v>57</v>
      </c>
      <c r="B68" s="117" t="str">
        <f>'Wrksht. H, CWIP Desc. EKS'!B67</f>
        <v>1070002</v>
      </c>
      <c r="C68" s="9" t="str">
        <f>'Wrksht. H, CWIP Desc. EKS'!C67</f>
        <v>EEC0803796</v>
      </c>
      <c r="D68" s="1159">
        <v>0</v>
      </c>
      <c r="E68" s="131">
        <f>'Wrksht. H, CWIP Desc. EKS'!D67</f>
        <v>0</v>
      </c>
      <c r="F68" s="1158">
        <v>40057</v>
      </c>
      <c r="G68" s="1322" t="s">
        <v>998</v>
      </c>
      <c r="H68" s="1159">
        <v>0</v>
      </c>
      <c r="I68" s="407">
        <f t="shared" si="2"/>
        <v>0</v>
      </c>
    </row>
    <row r="69" spans="1:9">
      <c r="A69" s="239">
        <f t="shared" si="1"/>
        <v>58</v>
      </c>
      <c r="B69" s="117" t="str">
        <f>'Wrksht. H, CWIP Desc. EKS'!B68</f>
        <v>1070002</v>
      </c>
      <c r="C69" s="9" t="str">
        <f>'Wrksht. H, CWIP Desc. EKS'!C68</f>
        <v>EEC0804389</v>
      </c>
      <c r="D69" s="1159">
        <v>83278.87</v>
      </c>
      <c r="E69" s="131">
        <f>'Wrksht. H, CWIP Desc. EKS'!D68</f>
        <v>0</v>
      </c>
      <c r="F69" s="1158">
        <v>40057</v>
      </c>
      <c r="G69" s="1321">
        <v>39822</v>
      </c>
      <c r="H69" s="1159">
        <v>0</v>
      </c>
      <c r="I69" s="407">
        <f t="shared" si="2"/>
        <v>0</v>
      </c>
    </row>
    <row r="70" spans="1:9">
      <c r="A70" s="239">
        <f t="shared" si="1"/>
        <v>59</v>
      </c>
      <c r="B70" s="117" t="str">
        <f>'Wrksht. H, CWIP Desc. EKS'!B69</f>
        <v>1070002</v>
      </c>
      <c r="C70" s="9" t="str">
        <f>'Wrksht. H, CWIP Desc. EKS'!C69</f>
        <v>EEC0804390</v>
      </c>
      <c r="D70" s="1159">
        <v>373147.69</v>
      </c>
      <c r="E70" s="131">
        <f>'Wrksht. H, CWIP Desc. EKS'!D69</f>
        <v>0</v>
      </c>
      <c r="F70" s="1158">
        <v>40057</v>
      </c>
      <c r="G70" s="1321">
        <v>39822</v>
      </c>
      <c r="H70" s="1159">
        <v>0</v>
      </c>
      <c r="I70" s="407">
        <f t="shared" si="2"/>
        <v>0</v>
      </c>
    </row>
    <row r="71" spans="1:9">
      <c r="A71" s="239">
        <f t="shared" si="1"/>
        <v>60</v>
      </c>
      <c r="B71" s="117" t="str">
        <f>'Wrksht. H, CWIP Desc. EKS'!B70</f>
        <v>1070002</v>
      </c>
      <c r="C71" s="9" t="str">
        <f>'Wrksht. H, CWIP Desc. EKS'!C70</f>
        <v>A30022</v>
      </c>
      <c r="D71" s="1159">
        <v>508.78</v>
      </c>
      <c r="E71" s="131">
        <f>'Wrksht. H, CWIP Desc. EKS'!D70</f>
        <v>0</v>
      </c>
      <c r="F71" s="1158">
        <v>40057</v>
      </c>
      <c r="G71" s="1321">
        <v>39912</v>
      </c>
      <c r="H71" s="1159">
        <v>0</v>
      </c>
      <c r="I71" s="407">
        <f t="shared" si="2"/>
        <v>0</v>
      </c>
    </row>
    <row r="72" spans="1:9">
      <c r="A72" s="239">
        <f t="shared" si="1"/>
        <v>61</v>
      </c>
      <c r="B72" s="117" t="str">
        <f>'Wrksht. H, CWIP Desc. EKS'!B71</f>
        <v>1070002</v>
      </c>
      <c r="C72" s="9" t="str">
        <f>'Wrksht. H, CWIP Desc. EKS'!C71</f>
        <v>EEC0600760</v>
      </c>
      <c r="D72" s="1159">
        <v>7237.57</v>
      </c>
      <c r="E72" s="131">
        <f>'Wrksht. H, CWIP Desc. EKS'!D71</f>
        <v>0</v>
      </c>
      <c r="F72" s="1158">
        <v>40057</v>
      </c>
      <c r="G72" s="1321">
        <v>39822</v>
      </c>
      <c r="H72" s="1159">
        <v>0</v>
      </c>
      <c r="I72" s="407">
        <f t="shared" si="2"/>
        <v>0</v>
      </c>
    </row>
    <row r="73" spans="1:9">
      <c r="A73" s="239">
        <f t="shared" si="1"/>
        <v>62</v>
      </c>
      <c r="B73" s="117" t="str">
        <f>'Wrksht. H, CWIP Desc. EKS'!B72</f>
        <v>1070002</v>
      </c>
      <c r="C73" s="9" t="str">
        <f>'Wrksht. H, CWIP Desc. EKS'!C72</f>
        <v>EEC0705349</v>
      </c>
      <c r="D73" s="1159">
        <v>3051.72</v>
      </c>
      <c r="E73" s="131">
        <f>'Wrksht. H, CWIP Desc. EKS'!D72</f>
        <v>0</v>
      </c>
      <c r="F73" s="1158">
        <v>40057</v>
      </c>
      <c r="G73" s="1321">
        <v>39853</v>
      </c>
      <c r="H73" s="1159">
        <v>0</v>
      </c>
      <c r="I73" s="407">
        <f t="shared" si="2"/>
        <v>0</v>
      </c>
    </row>
    <row r="74" spans="1:9">
      <c r="A74" s="239">
        <f t="shared" si="1"/>
        <v>63</v>
      </c>
      <c r="B74" s="117" t="str">
        <f>'Wrksht. H, CWIP Desc. EKS'!B73</f>
        <v>1070002</v>
      </c>
      <c r="C74" s="9" t="str">
        <f>'Wrksht. H, CWIP Desc. EKS'!C73</f>
        <v>EEC0800290</v>
      </c>
      <c r="D74" s="1159">
        <v>42021.11</v>
      </c>
      <c r="E74" s="131">
        <f>'Wrksht. H, CWIP Desc. EKS'!D73</f>
        <v>0</v>
      </c>
      <c r="F74" s="1158">
        <v>40057</v>
      </c>
      <c r="G74" s="1321">
        <v>39853</v>
      </c>
      <c r="H74" s="1159">
        <v>0</v>
      </c>
      <c r="I74" s="407">
        <f t="shared" si="2"/>
        <v>0</v>
      </c>
    </row>
    <row r="75" spans="1:9">
      <c r="A75" s="239">
        <f t="shared" si="1"/>
        <v>64</v>
      </c>
      <c r="B75" s="117" t="str">
        <f>'Wrksht. H, CWIP Desc. EKS'!B74</f>
        <v>1070002</v>
      </c>
      <c r="C75" s="9" t="str">
        <f>'Wrksht. H, CWIP Desc. EKS'!C74</f>
        <v>EEC0800701</v>
      </c>
      <c r="D75" s="1159">
        <v>39146.47</v>
      </c>
      <c r="E75" s="131">
        <f>'Wrksht. H, CWIP Desc. EKS'!D74</f>
        <v>0</v>
      </c>
      <c r="F75" s="1158">
        <v>40057</v>
      </c>
      <c r="G75" s="1321">
        <v>39853</v>
      </c>
      <c r="H75" s="1159">
        <v>0</v>
      </c>
      <c r="I75" s="407">
        <f t="shared" si="2"/>
        <v>0</v>
      </c>
    </row>
    <row r="76" spans="1:9">
      <c r="A76" s="239">
        <f t="shared" si="1"/>
        <v>65</v>
      </c>
      <c r="B76" s="117" t="str">
        <f>'Wrksht. H, CWIP Desc. EKS'!B75</f>
        <v>1070002</v>
      </c>
      <c r="C76" s="9" t="str">
        <f>'Wrksht. H, CWIP Desc. EKS'!C75</f>
        <v>EEC0800709</v>
      </c>
      <c r="D76" s="1159">
        <v>37450.76</v>
      </c>
      <c r="E76" s="131">
        <f>'Wrksht. H, CWIP Desc. EKS'!D75</f>
        <v>0</v>
      </c>
      <c r="F76" s="1158">
        <v>40057</v>
      </c>
      <c r="G76" s="1321">
        <v>39853</v>
      </c>
      <c r="H76" s="1159">
        <v>0</v>
      </c>
      <c r="I76" s="407">
        <f t="shared" si="2"/>
        <v>0</v>
      </c>
    </row>
    <row r="77" spans="1:9">
      <c r="A77" s="239">
        <f t="shared" si="1"/>
        <v>66</v>
      </c>
      <c r="B77" s="117" t="str">
        <f>'Wrksht. H, CWIP Desc. EKS'!B76</f>
        <v>1070002</v>
      </c>
      <c r="C77" s="9" t="str">
        <f>'Wrksht. H, CWIP Desc. EKS'!C76</f>
        <v>EEC0801801</v>
      </c>
      <c r="D77" s="1159">
        <v>90462.46</v>
      </c>
      <c r="E77" s="131">
        <f>'Wrksht. H, CWIP Desc. EKS'!D76</f>
        <v>0</v>
      </c>
      <c r="F77" s="1158">
        <v>40057</v>
      </c>
      <c r="G77" s="1321">
        <v>39912</v>
      </c>
      <c r="H77" s="1159">
        <v>0</v>
      </c>
      <c r="I77" s="407">
        <f t="shared" si="2"/>
        <v>0</v>
      </c>
    </row>
    <row r="78" spans="1:9">
      <c r="A78" s="239">
        <f t="shared" si="1"/>
        <v>67</v>
      </c>
      <c r="B78" s="117" t="str">
        <f>'Wrksht. H, CWIP Desc. EKS'!B77</f>
        <v>1070002</v>
      </c>
      <c r="C78" s="9" t="str">
        <f>'Wrksht. H, CWIP Desc. EKS'!C77</f>
        <v>EEC0701220</v>
      </c>
      <c r="D78" s="1159">
        <v>3831.04</v>
      </c>
      <c r="E78" s="131">
        <f>'Wrksht. H, CWIP Desc. EKS'!D77</f>
        <v>0</v>
      </c>
      <c r="F78" s="1158">
        <v>40057</v>
      </c>
      <c r="G78" s="1321">
        <v>39881</v>
      </c>
      <c r="H78" s="1159">
        <v>0</v>
      </c>
      <c r="I78" s="407">
        <f t="shared" si="2"/>
        <v>0</v>
      </c>
    </row>
    <row r="79" spans="1:9">
      <c r="A79" s="239">
        <f t="shared" ref="A79:A142" si="3">A78+1</f>
        <v>68</v>
      </c>
      <c r="B79" s="117" t="str">
        <f>'Wrksht. H, CWIP Desc. EKS'!B78</f>
        <v>1070002</v>
      </c>
      <c r="C79" s="9" t="str">
        <f>'Wrksht. H, CWIP Desc. EKS'!C78</f>
        <v>EEC0800296</v>
      </c>
      <c r="D79" s="1159">
        <v>1001.62</v>
      </c>
      <c r="E79" s="131">
        <f>'Wrksht. H, CWIP Desc. EKS'!D78</f>
        <v>0</v>
      </c>
      <c r="F79" s="1158">
        <v>40057</v>
      </c>
      <c r="G79" s="1321">
        <v>39853</v>
      </c>
      <c r="H79" s="1159">
        <v>0</v>
      </c>
      <c r="I79" s="407">
        <f t="shared" si="2"/>
        <v>0</v>
      </c>
    </row>
    <row r="80" spans="1:9">
      <c r="A80" s="239">
        <f t="shared" si="3"/>
        <v>69</v>
      </c>
      <c r="B80" s="117" t="str">
        <f>'Wrksht. H, CWIP Desc. EKS'!B79</f>
        <v>1070002</v>
      </c>
      <c r="C80" s="9" t="str">
        <f>'Wrksht. H, CWIP Desc. EKS'!C79</f>
        <v>EEC0805417</v>
      </c>
      <c r="D80" s="1159">
        <v>509481.39</v>
      </c>
      <c r="E80" s="131">
        <f>'Wrksht. H, CWIP Desc. EKS'!D79</f>
        <v>0</v>
      </c>
      <c r="F80" s="1158">
        <v>40057</v>
      </c>
      <c r="G80" s="1320">
        <v>40107</v>
      </c>
      <c r="H80" s="1159">
        <v>0</v>
      </c>
      <c r="I80" s="407">
        <f t="shared" si="2"/>
        <v>0</v>
      </c>
    </row>
    <row r="81" spans="1:9">
      <c r="A81" s="239">
        <f t="shared" si="3"/>
        <v>70</v>
      </c>
      <c r="B81" s="117" t="str">
        <f>'Wrksht. H, CWIP Desc. EKS'!B80</f>
        <v>1070002</v>
      </c>
      <c r="C81" s="9" t="str">
        <f>'Wrksht. H, CWIP Desc. EKS'!C80</f>
        <v xml:space="preserve"> 7003189</v>
      </c>
      <c r="D81" s="1159">
        <v>32682.28</v>
      </c>
      <c r="E81" s="131">
        <f>'Wrksht. H, CWIP Desc. EKS'!D80</f>
        <v>0</v>
      </c>
      <c r="F81" s="1158">
        <v>40057</v>
      </c>
      <c r="G81" s="1320">
        <v>40118</v>
      </c>
      <c r="H81" s="1159">
        <v>0</v>
      </c>
      <c r="I81" s="407">
        <f t="shared" si="2"/>
        <v>0</v>
      </c>
    </row>
    <row r="82" spans="1:9">
      <c r="A82" s="239">
        <f t="shared" si="3"/>
        <v>71</v>
      </c>
      <c r="B82" s="117" t="str">
        <f>'Wrksht. H, CWIP Desc. EKS'!B81</f>
        <v>1070002</v>
      </c>
      <c r="C82" s="9" t="str">
        <f>'Wrksht. H, CWIP Desc. EKS'!C81</f>
        <v xml:space="preserve"> 7003204</v>
      </c>
      <c r="D82" s="1159">
        <v>140532424.47</v>
      </c>
      <c r="E82" s="131">
        <f>'Wrksht. H, CWIP Desc. EKS'!D81</f>
        <v>0</v>
      </c>
      <c r="F82" s="1158">
        <v>40057</v>
      </c>
      <c r="G82" s="1320">
        <v>42069</v>
      </c>
      <c r="H82" s="1159">
        <v>0</v>
      </c>
      <c r="I82" s="407">
        <f t="shared" si="2"/>
        <v>0</v>
      </c>
    </row>
    <row r="83" spans="1:9">
      <c r="A83" s="239">
        <f t="shared" si="3"/>
        <v>72</v>
      </c>
      <c r="B83" s="117" t="str">
        <f>'Wrksht. H, CWIP Desc. EKS'!B82</f>
        <v>1070002</v>
      </c>
      <c r="C83" s="9" t="str">
        <f>'Wrksht. H, CWIP Desc. EKS'!C82</f>
        <v xml:space="preserve"> 7003205</v>
      </c>
      <c r="D83" s="1159">
        <v>40275590</v>
      </c>
      <c r="E83" s="131">
        <f>'Wrksht. H, CWIP Desc. EKS'!D82</f>
        <v>0</v>
      </c>
      <c r="F83" s="1158">
        <v>40057</v>
      </c>
      <c r="G83" s="1320">
        <v>42069</v>
      </c>
      <c r="H83" s="1159">
        <v>0</v>
      </c>
      <c r="I83" s="407">
        <f t="shared" ref="I83:I146" si="4">IF((E83-H83)&lt;=1000000,-H83,E83-H83)</f>
        <v>0</v>
      </c>
    </row>
    <row r="84" spans="1:9">
      <c r="A84" s="239">
        <f t="shared" si="3"/>
        <v>73</v>
      </c>
      <c r="B84" s="117" t="str">
        <f>'Wrksht. H, CWIP Desc. EKS'!B83</f>
        <v>1070002</v>
      </c>
      <c r="C84" s="9" t="str">
        <f>'Wrksht. H, CWIP Desc. EKS'!C83</f>
        <v xml:space="preserve"> 7003206</v>
      </c>
      <c r="D84" s="1159">
        <v>850.2</v>
      </c>
      <c r="E84" s="131">
        <f>'Wrksht. H, CWIP Desc. EKS'!D83</f>
        <v>0</v>
      </c>
      <c r="F84" s="1158">
        <v>40057</v>
      </c>
      <c r="G84" s="1324" t="s">
        <v>2716</v>
      </c>
      <c r="H84" s="1217">
        <v>0</v>
      </c>
      <c r="I84" s="407">
        <f t="shared" si="4"/>
        <v>0</v>
      </c>
    </row>
    <row r="85" spans="1:9">
      <c r="A85" s="239">
        <f t="shared" si="3"/>
        <v>74</v>
      </c>
      <c r="B85" s="117" t="str">
        <f>'Wrksht. H, CWIP Desc. EKS'!B84</f>
        <v>1070002</v>
      </c>
      <c r="C85" s="9" t="str">
        <f>'Wrksht. H, CWIP Desc. EKS'!C84</f>
        <v xml:space="preserve"> 7003208</v>
      </c>
      <c r="D85" s="1159">
        <v>3.43</v>
      </c>
      <c r="E85" s="131">
        <f>'Wrksht. H, CWIP Desc. EKS'!D84</f>
        <v>0</v>
      </c>
      <c r="F85" s="1158">
        <v>40057</v>
      </c>
      <c r="G85" s="1322" t="s">
        <v>1069</v>
      </c>
      <c r="H85" s="1217">
        <v>0</v>
      </c>
      <c r="I85" s="407">
        <f t="shared" si="4"/>
        <v>0</v>
      </c>
    </row>
    <row r="86" spans="1:9">
      <c r="A86" s="239">
        <f t="shared" si="3"/>
        <v>75</v>
      </c>
      <c r="B86" s="117" t="str">
        <f>'Wrksht. H, CWIP Desc. EKS'!B85</f>
        <v>1070002</v>
      </c>
      <c r="C86" s="9" t="str">
        <f>'Wrksht. H, CWIP Desc. EKS'!C85</f>
        <v xml:space="preserve"> 7009195</v>
      </c>
      <c r="D86" s="1159">
        <v>-18.39</v>
      </c>
      <c r="E86" s="131">
        <f>'Wrksht. H, CWIP Desc. EKS'!D85</f>
        <v>0</v>
      </c>
      <c r="F86" s="1158">
        <v>40057</v>
      </c>
      <c r="G86" s="1321">
        <v>38838</v>
      </c>
      <c r="H86" s="1159">
        <v>0</v>
      </c>
      <c r="I86" s="407">
        <f t="shared" si="4"/>
        <v>0</v>
      </c>
    </row>
    <row r="87" spans="1:9">
      <c r="A87" s="239">
        <f t="shared" si="3"/>
        <v>76</v>
      </c>
      <c r="B87" s="117" t="str">
        <f>'Wrksht. H, CWIP Desc. EKS'!B86</f>
        <v>1070002</v>
      </c>
      <c r="C87" s="9" t="str">
        <f>'Wrksht. H, CWIP Desc. EKS'!C86</f>
        <v xml:space="preserve"> 7009236</v>
      </c>
      <c r="D87" s="1159">
        <v>91958.27</v>
      </c>
      <c r="E87" s="131">
        <f>'Wrksht. H, CWIP Desc. EKS'!D86</f>
        <v>0</v>
      </c>
      <c r="F87" s="1158">
        <v>40057</v>
      </c>
      <c r="G87" s="1321">
        <v>39569</v>
      </c>
      <c r="H87" s="1159">
        <v>0</v>
      </c>
      <c r="I87" s="407">
        <f t="shared" si="4"/>
        <v>0</v>
      </c>
    </row>
    <row r="88" spans="1:9">
      <c r="A88" s="239">
        <f t="shared" si="3"/>
        <v>77</v>
      </c>
      <c r="B88" s="117" t="str">
        <f>'Wrksht. H, CWIP Desc. EKS'!B87</f>
        <v>1070002</v>
      </c>
      <c r="C88" s="9" t="str">
        <f>'Wrksht. H, CWIP Desc. EKS'!C87</f>
        <v xml:space="preserve"> 7009244</v>
      </c>
      <c r="D88" s="1159">
        <v>40051.96</v>
      </c>
      <c r="E88" s="131">
        <f>'Wrksht. H, CWIP Desc. EKS'!D87</f>
        <v>0</v>
      </c>
      <c r="F88" s="1158">
        <v>40057</v>
      </c>
      <c r="G88" s="1321">
        <v>39822</v>
      </c>
      <c r="H88" s="1159">
        <v>0</v>
      </c>
      <c r="I88" s="407">
        <f t="shared" si="4"/>
        <v>0</v>
      </c>
    </row>
    <row r="89" spans="1:9">
      <c r="A89" s="239">
        <f t="shared" si="3"/>
        <v>78</v>
      </c>
      <c r="B89" s="117" t="str">
        <f>'Wrksht. H, CWIP Desc. EKS'!B88</f>
        <v>1070002</v>
      </c>
      <c r="C89" s="9" t="str">
        <f>'Wrksht. H, CWIP Desc. EKS'!C88</f>
        <v xml:space="preserve"> 7009272</v>
      </c>
      <c r="D89" s="1159">
        <v>52104.7</v>
      </c>
      <c r="E89" s="131">
        <f>'Wrksht. H, CWIP Desc. EKS'!D88</f>
        <v>0</v>
      </c>
      <c r="F89" s="1158">
        <v>40057</v>
      </c>
      <c r="G89" s="1321">
        <v>39822</v>
      </c>
      <c r="H89" s="1159">
        <v>0</v>
      </c>
      <c r="I89" s="407">
        <f t="shared" si="4"/>
        <v>0</v>
      </c>
    </row>
    <row r="90" spans="1:9">
      <c r="A90" s="239">
        <f t="shared" si="3"/>
        <v>79</v>
      </c>
      <c r="B90" s="117" t="str">
        <f>'Wrksht. H, CWIP Desc. EKS'!B89</f>
        <v>1070002</v>
      </c>
      <c r="C90" s="9" t="str">
        <f>'Wrksht. H, CWIP Desc. EKS'!C89</f>
        <v xml:space="preserve"> 7009274</v>
      </c>
      <c r="D90" s="1159">
        <v>61692.88</v>
      </c>
      <c r="E90" s="131">
        <f>'Wrksht. H, CWIP Desc. EKS'!D89</f>
        <v>0</v>
      </c>
      <c r="F90" s="1158">
        <v>40057</v>
      </c>
      <c r="G90" s="1321">
        <v>39822</v>
      </c>
      <c r="H90" s="1159">
        <v>0</v>
      </c>
      <c r="I90" s="407">
        <f t="shared" si="4"/>
        <v>0</v>
      </c>
    </row>
    <row r="91" spans="1:9">
      <c r="A91" s="239">
        <f t="shared" si="3"/>
        <v>80</v>
      </c>
      <c r="B91" s="117" t="str">
        <f>'Wrksht. H, CWIP Desc. EKS'!B90</f>
        <v>1070002</v>
      </c>
      <c r="C91" s="9" t="str">
        <f>'Wrksht. H, CWIP Desc. EKS'!C90</f>
        <v xml:space="preserve"> 7009277</v>
      </c>
      <c r="D91" s="1159">
        <v>17257.36</v>
      </c>
      <c r="E91" s="131">
        <f>'Wrksht. H, CWIP Desc. EKS'!D90</f>
        <v>0</v>
      </c>
      <c r="F91" s="1158">
        <v>40057</v>
      </c>
      <c r="G91" s="1321">
        <v>39822</v>
      </c>
      <c r="H91" s="1159">
        <v>0</v>
      </c>
      <c r="I91" s="407">
        <f t="shared" si="4"/>
        <v>0</v>
      </c>
    </row>
    <row r="92" spans="1:9">
      <c r="A92" s="239">
        <f t="shared" si="3"/>
        <v>81</v>
      </c>
      <c r="B92" s="117" t="str">
        <f>'Wrksht. H, CWIP Desc. EKS'!B91</f>
        <v>1070002</v>
      </c>
      <c r="C92" s="9" t="str">
        <f>'Wrksht. H, CWIP Desc. EKS'!C91</f>
        <v xml:space="preserve"> 7009286</v>
      </c>
      <c r="D92" s="1159">
        <v>143167.54</v>
      </c>
      <c r="E92" s="131">
        <f>'Wrksht. H, CWIP Desc. EKS'!D91</f>
        <v>0</v>
      </c>
      <c r="F92" s="1158">
        <v>40057</v>
      </c>
      <c r="G92" s="1321">
        <v>39822</v>
      </c>
      <c r="H92" s="1159">
        <v>0</v>
      </c>
      <c r="I92" s="407">
        <f t="shared" si="4"/>
        <v>0</v>
      </c>
    </row>
    <row r="93" spans="1:9">
      <c r="A93" s="239">
        <f t="shared" si="3"/>
        <v>82</v>
      </c>
      <c r="B93" s="117" t="str">
        <f>'Wrksht. H, CWIP Desc. EKS'!B92</f>
        <v>1070002</v>
      </c>
      <c r="C93" s="9" t="str">
        <f>'Wrksht. H, CWIP Desc. EKS'!C92</f>
        <v xml:space="preserve"> 7009287</v>
      </c>
      <c r="D93" s="1159">
        <v>19349.34</v>
      </c>
      <c r="E93" s="131">
        <f>'Wrksht. H, CWIP Desc. EKS'!D92</f>
        <v>0</v>
      </c>
      <c r="F93" s="1158">
        <v>40057</v>
      </c>
      <c r="G93" s="1321">
        <v>39822</v>
      </c>
      <c r="H93" s="1159">
        <v>0</v>
      </c>
      <c r="I93" s="407">
        <f t="shared" si="4"/>
        <v>0</v>
      </c>
    </row>
    <row r="94" spans="1:9">
      <c r="A94" s="239">
        <f t="shared" si="3"/>
        <v>83</v>
      </c>
      <c r="B94" s="117" t="str">
        <f>'Wrksht. H, CWIP Desc. EKS'!B93</f>
        <v>1070002</v>
      </c>
      <c r="C94" s="9" t="str">
        <f>'Wrksht. H, CWIP Desc. EKS'!C93</f>
        <v xml:space="preserve"> 7009313</v>
      </c>
      <c r="D94" s="1159">
        <v>10410.870000000001</v>
      </c>
      <c r="E94" s="131">
        <f>'Wrksht. H, CWIP Desc. EKS'!D93</f>
        <v>0</v>
      </c>
      <c r="F94" s="1158">
        <v>40057</v>
      </c>
      <c r="G94" s="1321">
        <v>39822</v>
      </c>
      <c r="H94" s="1159">
        <v>0</v>
      </c>
      <c r="I94" s="407">
        <f t="shared" si="4"/>
        <v>0</v>
      </c>
    </row>
    <row r="95" spans="1:9">
      <c r="A95" s="239">
        <f t="shared" si="3"/>
        <v>84</v>
      </c>
      <c r="B95" s="117" t="str">
        <f>'Wrksht. H, CWIP Desc. EKS'!B94</f>
        <v>1070002</v>
      </c>
      <c r="C95" s="9" t="str">
        <f>'Wrksht. H, CWIP Desc. EKS'!C94</f>
        <v xml:space="preserve"> 7009321</v>
      </c>
      <c r="D95" s="1159">
        <v>114341.49</v>
      </c>
      <c r="E95" s="131">
        <f>'Wrksht. H, CWIP Desc. EKS'!D94</f>
        <v>0</v>
      </c>
      <c r="F95" s="1158">
        <v>40057</v>
      </c>
      <c r="G95" s="1321">
        <v>39912</v>
      </c>
      <c r="H95" s="1159">
        <v>0</v>
      </c>
      <c r="I95" s="407">
        <f t="shared" si="4"/>
        <v>0</v>
      </c>
    </row>
    <row r="96" spans="1:9">
      <c r="A96" s="239">
        <f t="shared" si="3"/>
        <v>85</v>
      </c>
      <c r="B96" s="117" t="str">
        <f>'Wrksht. H, CWIP Desc. EKS'!B95</f>
        <v>1070002</v>
      </c>
      <c r="C96" s="9" t="str">
        <f>'Wrksht. H, CWIP Desc. EKS'!C95</f>
        <v xml:space="preserve"> 7009324</v>
      </c>
      <c r="D96" s="1159">
        <v>17251.599999999999</v>
      </c>
      <c r="E96" s="131">
        <f>'Wrksht. H, CWIP Desc. EKS'!D95</f>
        <v>0</v>
      </c>
      <c r="F96" s="1158">
        <v>40057</v>
      </c>
      <c r="G96" s="1321">
        <v>39822</v>
      </c>
      <c r="H96" s="1159">
        <v>0</v>
      </c>
      <c r="I96" s="407">
        <f t="shared" si="4"/>
        <v>0</v>
      </c>
    </row>
    <row r="97" spans="1:11">
      <c r="A97" s="239">
        <f t="shared" si="3"/>
        <v>86</v>
      </c>
      <c r="B97" s="117" t="str">
        <f>'Wrksht. H, CWIP Desc. EKS'!B96</f>
        <v>1070002</v>
      </c>
      <c r="C97" s="9" t="str">
        <f>'Wrksht. H, CWIP Desc. EKS'!C96</f>
        <v xml:space="preserve"> 7081001</v>
      </c>
      <c r="D97" s="1159">
        <v>13487.5</v>
      </c>
      <c r="E97" s="131">
        <f>'Wrksht. H, CWIP Desc. EKS'!D96</f>
        <v>0</v>
      </c>
      <c r="F97" s="1158">
        <v>40057</v>
      </c>
      <c r="G97" s="1321">
        <v>39822</v>
      </c>
      <c r="H97" s="1159">
        <v>0</v>
      </c>
      <c r="I97" s="407">
        <f t="shared" si="4"/>
        <v>0</v>
      </c>
    </row>
    <row r="98" spans="1:11">
      <c r="A98" s="239">
        <f t="shared" si="3"/>
        <v>87</v>
      </c>
      <c r="B98" s="117" t="str">
        <f>'Wrksht. H, CWIP Desc. EKS'!B97</f>
        <v>1070002</v>
      </c>
      <c r="C98" s="9" t="str">
        <f>'Wrksht. H, CWIP Desc. EKS'!C97</f>
        <v xml:space="preserve"> 7081745</v>
      </c>
      <c r="D98" s="1159">
        <v>30349.51</v>
      </c>
      <c r="E98" s="131">
        <f>'Wrksht. H, CWIP Desc. EKS'!D97</f>
        <v>0</v>
      </c>
      <c r="F98" s="1158">
        <v>40057</v>
      </c>
      <c r="G98" s="1320">
        <v>40421</v>
      </c>
      <c r="H98" s="1159">
        <v>0</v>
      </c>
      <c r="I98" s="407">
        <f t="shared" si="4"/>
        <v>0</v>
      </c>
    </row>
    <row r="99" spans="1:11">
      <c r="A99" s="239">
        <f t="shared" si="3"/>
        <v>88</v>
      </c>
      <c r="B99" s="117" t="str">
        <f>'Wrksht. H, CWIP Desc. EKS'!B98</f>
        <v>1070002</v>
      </c>
      <c r="C99" s="9" t="str">
        <f>'Wrksht. H, CWIP Desc. EKS'!C98</f>
        <v xml:space="preserve"> 7100025</v>
      </c>
      <c r="D99" s="1159">
        <v>22871474.300000001</v>
      </c>
      <c r="E99" s="131">
        <f>'Wrksht. H, CWIP Desc. EKS'!D98</f>
        <v>0</v>
      </c>
      <c r="F99" s="1158">
        <v>40057</v>
      </c>
      <c r="G99" s="1322">
        <v>0</v>
      </c>
      <c r="H99" s="1159">
        <v>0</v>
      </c>
      <c r="I99" s="407">
        <f t="shared" si="4"/>
        <v>0</v>
      </c>
    </row>
    <row r="100" spans="1:11">
      <c r="A100" s="239">
        <f t="shared" si="3"/>
        <v>89</v>
      </c>
      <c r="B100" s="117" t="str">
        <f>'Wrksht. H, CWIP Desc. EKS'!B99</f>
        <v>1070002</v>
      </c>
      <c r="C100" s="9" t="str">
        <f>'Wrksht. H, CWIP Desc. EKS'!C99</f>
        <v xml:space="preserve"> 7100026</v>
      </c>
      <c r="D100" s="1159">
        <v>0</v>
      </c>
      <c r="E100" s="131">
        <f>'Wrksht. H, CWIP Desc. EKS'!D99</f>
        <v>0</v>
      </c>
      <c r="F100" s="1158">
        <v>40057</v>
      </c>
      <c r="G100" s="1322">
        <v>0</v>
      </c>
      <c r="H100" s="1159">
        <v>0</v>
      </c>
      <c r="I100" s="407">
        <f t="shared" si="4"/>
        <v>0</v>
      </c>
    </row>
    <row r="101" spans="1:11">
      <c r="A101" s="239">
        <f t="shared" si="3"/>
        <v>90</v>
      </c>
      <c r="B101" s="117" t="str">
        <f>'Wrksht. H, CWIP Desc. EKS'!B100</f>
        <v>1070002</v>
      </c>
      <c r="C101" s="9" t="str">
        <f>'Wrksht. H, CWIP Desc. EKS'!C100</f>
        <v xml:space="preserve"> 7103090</v>
      </c>
      <c r="D101" s="1159">
        <v>208800.85</v>
      </c>
      <c r="E101" s="131">
        <f>'Wrksht. H, CWIP Desc. EKS'!D100</f>
        <v>0</v>
      </c>
      <c r="F101" s="1158">
        <v>40057</v>
      </c>
      <c r="G101" s="1320">
        <v>40696</v>
      </c>
      <c r="H101" s="1159">
        <v>0</v>
      </c>
      <c r="I101" s="407">
        <f t="shared" si="4"/>
        <v>0</v>
      </c>
    </row>
    <row r="102" spans="1:11">
      <c r="A102" s="239">
        <f t="shared" si="3"/>
        <v>91</v>
      </c>
      <c r="B102" s="117" t="str">
        <f>'Wrksht. H, CWIP Desc. EKS'!B101</f>
        <v>1070002</v>
      </c>
      <c r="C102" s="9" t="str">
        <f>'Wrksht. H, CWIP Desc. EKS'!C101</f>
        <v xml:space="preserve"> 7103177</v>
      </c>
      <c r="D102" s="1159">
        <v>39701.99</v>
      </c>
      <c r="E102" s="131">
        <f>'Wrksht. H, CWIP Desc. EKS'!D101</f>
        <v>0</v>
      </c>
      <c r="F102" s="1158">
        <v>40057</v>
      </c>
      <c r="G102" s="1320">
        <v>40209</v>
      </c>
      <c r="H102" s="1159">
        <v>0</v>
      </c>
      <c r="I102" s="407">
        <f t="shared" si="4"/>
        <v>0</v>
      </c>
    </row>
    <row r="103" spans="1:11">
      <c r="A103" s="239">
        <f t="shared" si="3"/>
        <v>92</v>
      </c>
      <c r="B103" s="117" t="str">
        <f>'Wrksht. H, CWIP Desc. EKS'!B102</f>
        <v>1070002</v>
      </c>
      <c r="C103" s="9" t="str">
        <f>'Wrksht. H, CWIP Desc. EKS'!C102</f>
        <v xml:space="preserve"> 7103186</v>
      </c>
      <c r="D103" s="1159">
        <v>129489132.48</v>
      </c>
      <c r="E103" s="131">
        <f>'Wrksht. H, CWIP Desc. EKS'!D102</f>
        <v>0</v>
      </c>
      <c r="F103" s="1158">
        <v>40057</v>
      </c>
      <c r="G103" s="1320">
        <v>42125</v>
      </c>
      <c r="H103" s="1159">
        <v>0</v>
      </c>
      <c r="I103" s="407">
        <f t="shared" si="4"/>
        <v>0</v>
      </c>
    </row>
    <row r="104" spans="1:11">
      <c r="A104" s="239">
        <f t="shared" si="3"/>
        <v>93</v>
      </c>
      <c r="B104" s="117" t="str">
        <f>'Wrksht. H, CWIP Desc. EKS'!B103</f>
        <v>1070002</v>
      </c>
      <c r="C104" s="9" t="str">
        <f>'Wrksht. H, CWIP Desc. EKS'!C103</f>
        <v xml:space="preserve"> 7103194</v>
      </c>
      <c r="D104" s="1159">
        <v>28631.74</v>
      </c>
      <c r="E104" s="131">
        <f>'Wrksht. H, CWIP Desc. EKS'!D103</f>
        <v>0</v>
      </c>
      <c r="F104" s="1158">
        <v>40057</v>
      </c>
      <c r="G104" s="1320">
        <v>40055</v>
      </c>
      <c r="H104" s="1159">
        <v>0</v>
      </c>
      <c r="I104" s="407">
        <f t="shared" si="4"/>
        <v>0</v>
      </c>
    </row>
    <row r="105" spans="1:11">
      <c r="A105" s="239">
        <f t="shared" si="3"/>
        <v>94</v>
      </c>
      <c r="B105" s="117" t="str">
        <f>'Wrksht. H, CWIP Desc. EKS'!B104</f>
        <v>1070002</v>
      </c>
      <c r="C105" s="9" t="str">
        <f>'Wrksht. H, CWIP Desc. EKS'!C104</f>
        <v xml:space="preserve"> 7103195</v>
      </c>
      <c r="D105" s="1159">
        <v>12636586.67</v>
      </c>
      <c r="E105" s="131">
        <f>'Wrksht. H, CWIP Desc. EKS'!D104</f>
        <v>0</v>
      </c>
      <c r="F105" s="1158">
        <v>40057</v>
      </c>
      <c r="G105" s="1320">
        <v>40726</v>
      </c>
      <c r="H105" s="1159">
        <v>0</v>
      </c>
      <c r="I105" s="407">
        <f t="shared" si="4"/>
        <v>0</v>
      </c>
    </row>
    <row r="106" spans="1:11">
      <c r="A106" s="239">
        <f t="shared" si="3"/>
        <v>95</v>
      </c>
      <c r="B106" s="117" t="str">
        <f>'Wrksht. H, CWIP Desc. EKS'!B105</f>
        <v>1070002</v>
      </c>
      <c r="C106" s="9" t="str">
        <f>'Wrksht. H, CWIP Desc. EKS'!C105</f>
        <v xml:space="preserve"> 7103196</v>
      </c>
      <c r="D106" s="1159">
        <v>61193.07</v>
      </c>
      <c r="E106" s="131">
        <f>'Wrksht. H, CWIP Desc. EKS'!D105</f>
        <v>0</v>
      </c>
      <c r="F106" s="1158">
        <v>40057</v>
      </c>
      <c r="G106" s="1320">
        <v>40055</v>
      </c>
      <c r="H106" s="1159">
        <v>0</v>
      </c>
      <c r="I106" s="407">
        <f t="shared" si="4"/>
        <v>0</v>
      </c>
    </row>
    <row r="107" spans="1:11">
      <c r="A107" s="239">
        <f t="shared" si="3"/>
        <v>96</v>
      </c>
      <c r="B107" s="117" t="str">
        <f>'Wrksht. H, CWIP Desc. EKS'!B106</f>
        <v>1070002</v>
      </c>
      <c r="C107" s="9" t="str">
        <f>'Wrksht. H, CWIP Desc. EKS'!C106</f>
        <v xml:space="preserve"> 7103199</v>
      </c>
      <c r="D107" s="1159">
        <v>15648.89</v>
      </c>
      <c r="E107" s="131">
        <f>'Wrksht. H, CWIP Desc. EKS'!D106</f>
        <v>0</v>
      </c>
      <c r="F107" s="1158">
        <v>40057</v>
      </c>
      <c r="G107" s="1320">
        <v>41639</v>
      </c>
      <c r="H107" s="1159">
        <v>0</v>
      </c>
      <c r="I107" s="407">
        <f t="shared" si="4"/>
        <v>0</v>
      </c>
    </row>
    <row r="108" spans="1:11">
      <c r="A108" s="239">
        <f t="shared" si="3"/>
        <v>97</v>
      </c>
      <c r="B108" s="117" t="str">
        <f>'Wrksht. H, CWIP Desc. EKS'!B107</f>
        <v>1070002</v>
      </c>
      <c r="C108" s="9" t="str">
        <f>'Wrksht. H, CWIP Desc. EKS'!C107</f>
        <v xml:space="preserve"> 7103201</v>
      </c>
      <c r="D108" s="1159">
        <v>5616540.4100000001</v>
      </c>
      <c r="E108" s="131">
        <f>'Wrksht. H, CWIP Desc. EKS'!D107</f>
        <v>0</v>
      </c>
      <c r="F108" s="1158">
        <v>40057</v>
      </c>
      <c r="G108" s="1320">
        <v>40696</v>
      </c>
      <c r="H108" s="1159">
        <v>0</v>
      </c>
      <c r="I108" s="407">
        <f t="shared" si="4"/>
        <v>0</v>
      </c>
    </row>
    <row r="109" spans="1:11">
      <c r="A109" s="239">
        <f t="shared" si="3"/>
        <v>98</v>
      </c>
      <c r="B109" s="117" t="str">
        <f>'Wrksht. H, CWIP Desc. EKS'!B108</f>
        <v>1070002</v>
      </c>
      <c r="C109" s="9" t="str">
        <f>'Wrksht. H, CWIP Desc. EKS'!C108</f>
        <v xml:space="preserve"> 7103202</v>
      </c>
      <c r="D109" s="1159">
        <v>-52.47</v>
      </c>
      <c r="E109" s="131">
        <f>'Wrksht. H, CWIP Desc. EKS'!D108</f>
        <v>0</v>
      </c>
      <c r="F109" s="1158">
        <v>40057</v>
      </c>
      <c r="G109" s="1324" t="s">
        <v>2717</v>
      </c>
      <c r="H109" s="1217">
        <v>0</v>
      </c>
      <c r="I109" s="407">
        <f>IF((E109-H109)&lt;=1000000,-H109,E109-H109)</f>
        <v>0</v>
      </c>
    </row>
    <row r="110" spans="1:11">
      <c r="A110" s="239">
        <f t="shared" si="3"/>
        <v>99</v>
      </c>
      <c r="B110" s="117" t="str">
        <f>'Wrksht. H, CWIP Desc. EKS'!B109</f>
        <v>1070002</v>
      </c>
      <c r="C110" s="9" t="str">
        <f>'Wrksht. H, CWIP Desc. EKS'!C109</f>
        <v xml:space="preserve"> 7103209</v>
      </c>
      <c r="D110" s="1159">
        <v>754975.58</v>
      </c>
      <c r="E110" s="131">
        <f>'Wrksht. H, CWIP Desc. EKS'!D109</f>
        <v>0</v>
      </c>
      <c r="F110" s="1158">
        <v>40057</v>
      </c>
      <c r="G110" s="1320">
        <v>40055</v>
      </c>
      <c r="H110" s="1159">
        <v>0</v>
      </c>
      <c r="I110" s="407">
        <f t="shared" si="4"/>
        <v>0</v>
      </c>
    </row>
    <row r="111" spans="1:11">
      <c r="A111" s="239">
        <f t="shared" si="3"/>
        <v>100</v>
      </c>
      <c r="B111" s="117" t="str">
        <f>'Wrksht. H, CWIP Desc. EKS'!B110</f>
        <v>1070002</v>
      </c>
      <c r="C111" s="9" t="str">
        <f>'Wrksht. H, CWIP Desc. EKS'!C110</f>
        <v xml:space="preserve"> 7103210</v>
      </c>
      <c r="D111" s="1159">
        <v>93475.46</v>
      </c>
      <c r="E111" s="131">
        <f>'Wrksht. H, CWIP Desc. EKS'!D110</f>
        <v>0</v>
      </c>
      <c r="F111" s="1158">
        <v>40057</v>
      </c>
      <c r="G111" s="1320">
        <v>41244</v>
      </c>
      <c r="H111" s="1159">
        <v>0</v>
      </c>
      <c r="I111" s="407">
        <f t="shared" si="4"/>
        <v>0</v>
      </c>
    </row>
    <row r="112" spans="1:11">
      <c r="A112" s="239">
        <f t="shared" si="3"/>
        <v>101</v>
      </c>
      <c r="B112" s="117" t="str">
        <f>'Wrksht. H, CWIP Desc. EKS'!B111</f>
        <v>1070002</v>
      </c>
      <c r="C112" s="9" t="str">
        <f>'Wrksht. H, CWIP Desc. EKS'!C111</f>
        <v xml:space="preserve"> 7103211</v>
      </c>
      <c r="D112" s="1159">
        <v>130345.63</v>
      </c>
      <c r="E112" s="131">
        <f>'Wrksht. H, CWIP Desc. EKS'!D111</f>
        <v>0</v>
      </c>
      <c r="F112" s="1158">
        <v>40057</v>
      </c>
      <c r="G112" s="1320">
        <v>40482</v>
      </c>
      <c r="H112" s="1159">
        <v>0</v>
      </c>
      <c r="I112" s="407">
        <f t="shared" si="4"/>
        <v>0</v>
      </c>
      <c r="J112" s="300"/>
      <c r="K112" s="38"/>
    </row>
    <row r="113" spans="1:9">
      <c r="A113" s="239">
        <f t="shared" si="3"/>
        <v>102</v>
      </c>
      <c r="B113" s="117" t="str">
        <f>'Wrksht. H, CWIP Desc. EKS'!B112</f>
        <v>1070002</v>
      </c>
      <c r="C113" s="9" t="str">
        <f>'Wrksht. H, CWIP Desc. EKS'!C112</f>
        <v xml:space="preserve"> 7103212</v>
      </c>
      <c r="D113" s="1159">
        <v>3247934</v>
      </c>
      <c r="E113" s="131">
        <f>'Wrksht. H, CWIP Desc. EKS'!D112</f>
        <v>0</v>
      </c>
      <c r="F113" s="1158">
        <v>40057</v>
      </c>
      <c r="G113" s="1320">
        <v>40696</v>
      </c>
      <c r="H113" s="1159">
        <v>0</v>
      </c>
      <c r="I113" s="407">
        <f t="shared" si="4"/>
        <v>0</v>
      </c>
    </row>
    <row r="114" spans="1:9">
      <c r="A114" s="239">
        <f t="shared" si="3"/>
        <v>103</v>
      </c>
      <c r="B114" s="117" t="str">
        <f>'Wrksht. H, CWIP Desc. EKS'!B113</f>
        <v>1070002</v>
      </c>
      <c r="C114" s="9" t="str">
        <f>'Wrksht. H, CWIP Desc. EKS'!C113</f>
        <v xml:space="preserve"> 7103225</v>
      </c>
      <c r="D114" s="1159">
        <v>2581204.6</v>
      </c>
      <c r="E114" s="131">
        <f>'Wrksht. H, CWIP Desc. EKS'!D113</f>
        <v>0</v>
      </c>
      <c r="F114" s="1158">
        <v>40057</v>
      </c>
      <c r="G114" s="1321">
        <v>39973</v>
      </c>
      <c r="H114" s="1159">
        <v>0</v>
      </c>
      <c r="I114" s="407">
        <f t="shared" si="4"/>
        <v>0</v>
      </c>
    </row>
    <row r="115" spans="1:9">
      <c r="A115" s="239">
        <f t="shared" si="3"/>
        <v>104</v>
      </c>
      <c r="B115" s="117" t="str">
        <f>'Wrksht. H, CWIP Desc. EKS'!B114</f>
        <v>1070002</v>
      </c>
      <c r="C115" s="9" t="str">
        <f>'Wrksht. H, CWIP Desc. EKS'!C114</f>
        <v xml:space="preserve"> 7107489</v>
      </c>
      <c r="D115" s="1159">
        <v>47.4</v>
      </c>
      <c r="E115" s="131">
        <f>'Wrksht. H, CWIP Desc. EKS'!D114</f>
        <v>0</v>
      </c>
      <c r="F115" s="1158">
        <v>40057</v>
      </c>
      <c r="G115" s="1322" t="s">
        <v>1069</v>
      </c>
      <c r="H115" s="1159">
        <v>0</v>
      </c>
      <c r="I115" s="407">
        <f t="shared" si="4"/>
        <v>0</v>
      </c>
    </row>
    <row r="116" spans="1:9">
      <c r="A116" s="239">
        <f t="shared" si="3"/>
        <v>105</v>
      </c>
      <c r="B116" s="117" t="str">
        <f>'Wrksht. H, CWIP Desc. EKS'!B115</f>
        <v>1070002</v>
      </c>
      <c r="C116" s="9" t="str">
        <f>'Wrksht. H, CWIP Desc. EKS'!C115</f>
        <v xml:space="preserve"> 7109229</v>
      </c>
      <c r="D116" s="1159">
        <v>71469.53</v>
      </c>
      <c r="E116" s="131">
        <f>'Wrksht. H, CWIP Desc. EKS'!D115</f>
        <v>0</v>
      </c>
      <c r="F116" s="1158">
        <v>40057</v>
      </c>
      <c r="G116" s="1321">
        <v>39822</v>
      </c>
      <c r="H116" s="1159">
        <v>0</v>
      </c>
      <c r="I116" s="407">
        <f t="shared" si="4"/>
        <v>0</v>
      </c>
    </row>
    <row r="117" spans="1:9">
      <c r="A117" s="239">
        <f t="shared" si="3"/>
        <v>106</v>
      </c>
      <c r="B117" s="117" t="str">
        <f>'Wrksht. H, CWIP Desc. EKS'!B116</f>
        <v>1070002</v>
      </c>
      <c r="C117" s="9" t="str">
        <f>'Wrksht. H, CWIP Desc. EKS'!C116</f>
        <v xml:space="preserve"> 7109249</v>
      </c>
      <c r="D117" s="1159">
        <v>16718.759999999998</v>
      </c>
      <c r="E117" s="131">
        <f>'Wrksht. H, CWIP Desc. EKS'!D116</f>
        <v>0</v>
      </c>
      <c r="F117" s="1158">
        <v>40057</v>
      </c>
      <c r="G117" s="1321">
        <v>39822</v>
      </c>
      <c r="H117" s="1159">
        <v>0</v>
      </c>
      <c r="I117" s="407">
        <f t="shared" si="4"/>
        <v>0</v>
      </c>
    </row>
    <row r="118" spans="1:9">
      <c r="A118" s="239">
        <f t="shared" si="3"/>
        <v>107</v>
      </c>
      <c r="B118" s="117" t="str">
        <f>'Wrksht. H, CWIP Desc. EKS'!B117</f>
        <v>1070002</v>
      </c>
      <c r="C118" s="9" t="str">
        <f>'Wrksht. H, CWIP Desc. EKS'!C117</f>
        <v xml:space="preserve"> 7109252</v>
      </c>
      <c r="D118" s="1159">
        <v>17590.599999999999</v>
      </c>
      <c r="E118" s="131">
        <f>'Wrksht. H, CWIP Desc. EKS'!D117</f>
        <v>0</v>
      </c>
      <c r="F118" s="1158">
        <v>40057</v>
      </c>
      <c r="G118" s="1321">
        <v>39822</v>
      </c>
      <c r="H118" s="1159">
        <v>0</v>
      </c>
      <c r="I118" s="407">
        <f t="shared" si="4"/>
        <v>0</v>
      </c>
    </row>
    <row r="119" spans="1:9">
      <c r="A119" s="239">
        <f t="shared" si="3"/>
        <v>108</v>
      </c>
      <c r="B119" s="117" t="str">
        <f>'Wrksht. H, CWIP Desc. EKS'!B118</f>
        <v>1070002</v>
      </c>
      <c r="C119" s="9" t="str">
        <f>'Wrksht. H, CWIP Desc. EKS'!C118</f>
        <v xml:space="preserve"> 7109253</v>
      </c>
      <c r="D119" s="1159">
        <v>2859.86</v>
      </c>
      <c r="E119" s="131">
        <f>'Wrksht. H, CWIP Desc. EKS'!D118</f>
        <v>0</v>
      </c>
      <c r="F119" s="1158">
        <v>40057</v>
      </c>
      <c r="G119" s="1321">
        <v>39822</v>
      </c>
      <c r="H119" s="1159">
        <v>0</v>
      </c>
      <c r="I119" s="407">
        <f t="shared" si="4"/>
        <v>0</v>
      </c>
    </row>
    <row r="120" spans="1:9">
      <c r="A120" s="239">
        <f t="shared" si="3"/>
        <v>109</v>
      </c>
      <c r="B120" s="117" t="str">
        <f>'Wrksht. H, CWIP Desc. EKS'!B119</f>
        <v>1070002</v>
      </c>
      <c r="C120" s="9" t="str">
        <f>'Wrksht. H, CWIP Desc. EKS'!C119</f>
        <v xml:space="preserve"> 7109255</v>
      </c>
      <c r="D120" s="1159">
        <v>20133.43</v>
      </c>
      <c r="E120" s="131">
        <f>'Wrksht. H, CWIP Desc. EKS'!D119</f>
        <v>0</v>
      </c>
      <c r="F120" s="1158">
        <v>40057</v>
      </c>
      <c r="G120" s="1321">
        <v>39822</v>
      </c>
      <c r="H120" s="1159">
        <v>0</v>
      </c>
      <c r="I120" s="407">
        <f t="shared" si="4"/>
        <v>0</v>
      </c>
    </row>
    <row r="121" spans="1:9">
      <c r="A121" s="239">
        <f t="shared" si="3"/>
        <v>110</v>
      </c>
      <c r="B121" s="117" t="str">
        <f>'Wrksht. H, CWIP Desc. EKS'!B120</f>
        <v>1070002</v>
      </c>
      <c r="C121" s="9" t="str">
        <f>'Wrksht. H, CWIP Desc. EKS'!C120</f>
        <v xml:space="preserve"> 7109256</v>
      </c>
      <c r="D121" s="1159">
        <v>6716.49</v>
      </c>
      <c r="E121" s="131">
        <f>'Wrksht. H, CWIP Desc. EKS'!D120</f>
        <v>0</v>
      </c>
      <c r="F121" s="1158">
        <v>40057</v>
      </c>
      <c r="G121" s="1321">
        <v>39822</v>
      </c>
      <c r="H121" s="1159">
        <v>0</v>
      </c>
      <c r="I121" s="407">
        <f t="shared" si="4"/>
        <v>0</v>
      </c>
    </row>
    <row r="122" spans="1:9">
      <c r="A122" s="239">
        <f t="shared" si="3"/>
        <v>111</v>
      </c>
      <c r="B122" s="117" t="str">
        <f>'Wrksht. H, CWIP Desc. EKS'!B121</f>
        <v>1070002</v>
      </c>
      <c r="C122" s="9" t="str">
        <f>'Wrksht. H, CWIP Desc. EKS'!C121</f>
        <v xml:space="preserve"> 7109257</v>
      </c>
      <c r="D122" s="1159">
        <v>45035.29</v>
      </c>
      <c r="E122" s="131">
        <f>'Wrksht. H, CWIP Desc. EKS'!D121</f>
        <v>0</v>
      </c>
      <c r="F122" s="1158">
        <v>40057</v>
      </c>
      <c r="G122" s="1320">
        <v>40906</v>
      </c>
      <c r="H122" s="1159">
        <v>0</v>
      </c>
      <c r="I122" s="407">
        <f t="shared" si="4"/>
        <v>0</v>
      </c>
    </row>
    <row r="123" spans="1:9">
      <c r="A123" s="239">
        <f t="shared" si="3"/>
        <v>112</v>
      </c>
      <c r="B123" s="117" t="str">
        <f>'Wrksht. H, CWIP Desc. EKS'!B122</f>
        <v>1070002</v>
      </c>
      <c r="C123" s="9" t="str">
        <f>'Wrksht. H, CWIP Desc. EKS'!C122</f>
        <v xml:space="preserve"> 7109258</v>
      </c>
      <c r="D123" s="1159">
        <v>22162.38</v>
      </c>
      <c r="E123" s="131">
        <f>'Wrksht. H, CWIP Desc. EKS'!D122</f>
        <v>0</v>
      </c>
      <c r="F123" s="1158">
        <v>40057</v>
      </c>
      <c r="G123" s="1321">
        <v>39822</v>
      </c>
      <c r="H123" s="1159">
        <v>0</v>
      </c>
      <c r="I123" s="407">
        <f t="shared" si="4"/>
        <v>0</v>
      </c>
    </row>
    <row r="124" spans="1:9">
      <c r="A124" s="239">
        <f t="shared" si="3"/>
        <v>113</v>
      </c>
      <c r="B124" s="117" t="str">
        <f>'Wrksht. H, CWIP Desc. EKS'!B123</f>
        <v>1070002</v>
      </c>
      <c r="C124" s="9" t="str">
        <f>'Wrksht. H, CWIP Desc. EKS'!C123</f>
        <v xml:space="preserve"> 7109293</v>
      </c>
      <c r="D124" s="1159">
        <v>6389.72</v>
      </c>
      <c r="E124" s="131">
        <f>'Wrksht. H, CWIP Desc. EKS'!D123</f>
        <v>0</v>
      </c>
      <c r="F124" s="1158">
        <v>40057</v>
      </c>
      <c r="G124" s="1321">
        <v>39822</v>
      </c>
      <c r="H124" s="1159">
        <v>0</v>
      </c>
      <c r="I124" s="407">
        <f t="shared" si="4"/>
        <v>0</v>
      </c>
    </row>
    <row r="125" spans="1:9">
      <c r="A125" s="239">
        <f t="shared" si="3"/>
        <v>114</v>
      </c>
      <c r="B125" s="117" t="str">
        <f>'Wrksht. H, CWIP Desc. EKS'!B124</f>
        <v>1070002</v>
      </c>
      <c r="C125" s="9" t="str">
        <f>'Wrksht. H, CWIP Desc. EKS'!C124</f>
        <v xml:space="preserve"> 7109296</v>
      </c>
      <c r="D125" s="1159">
        <v>15876.93</v>
      </c>
      <c r="E125" s="131">
        <f>'Wrksht. H, CWIP Desc. EKS'!D124</f>
        <v>0</v>
      </c>
      <c r="F125" s="1158">
        <v>40057</v>
      </c>
      <c r="G125" s="1320">
        <v>40209</v>
      </c>
      <c r="H125" s="1159">
        <v>0</v>
      </c>
      <c r="I125" s="407">
        <f t="shared" si="4"/>
        <v>0</v>
      </c>
    </row>
    <row r="126" spans="1:9">
      <c r="A126" s="239">
        <f t="shared" si="3"/>
        <v>115</v>
      </c>
      <c r="B126" s="117" t="str">
        <f>'Wrksht. H, CWIP Desc. EKS'!B125</f>
        <v>1070002</v>
      </c>
      <c r="C126" s="9" t="str">
        <f>'Wrksht. H, CWIP Desc. EKS'!C125</f>
        <v xml:space="preserve"> 7109297</v>
      </c>
      <c r="D126" s="1159">
        <v>119633.66</v>
      </c>
      <c r="E126" s="131">
        <f>'Wrksht. H, CWIP Desc. EKS'!D125</f>
        <v>0</v>
      </c>
      <c r="F126" s="1158">
        <v>40057</v>
      </c>
      <c r="G126" s="1321">
        <v>39912</v>
      </c>
      <c r="H126" s="1159">
        <v>0</v>
      </c>
      <c r="I126" s="407">
        <f t="shared" si="4"/>
        <v>0</v>
      </c>
    </row>
    <row r="127" spans="1:9">
      <c r="A127" s="239">
        <f t="shared" si="3"/>
        <v>116</v>
      </c>
      <c r="B127" s="117" t="str">
        <f>'Wrksht. H, CWIP Desc. EKS'!B126</f>
        <v>1070002</v>
      </c>
      <c r="C127" s="9" t="str">
        <f>'Wrksht. H, CWIP Desc. EKS'!C126</f>
        <v xml:space="preserve"> 7109302</v>
      </c>
      <c r="D127" s="1159">
        <v>2329.71</v>
      </c>
      <c r="E127" s="131">
        <f>'Wrksht. H, CWIP Desc. EKS'!D126</f>
        <v>0</v>
      </c>
      <c r="F127" s="1158">
        <v>40057</v>
      </c>
      <c r="G127" s="1321">
        <v>39822</v>
      </c>
      <c r="H127" s="1159">
        <v>0</v>
      </c>
      <c r="I127" s="407">
        <f t="shared" si="4"/>
        <v>0</v>
      </c>
    </row>
    <row r="128" spans="1:9">
      <c r="A128" s="239">
        <f t="shared" si="3"/>
        <v>117</v>
      </c>
      <c r="B128" s="117" t="str">
        <f>'Wrksht. H, CWIP Desc. EKS'!B127</f>
        <v>1070002</v>
      </c>
      <c r="C128" s="9" t="str">
        <f>'Wrksht. H, CWIP Desc. EKS'!C127</f>
        <v xml:space="preserve"> 7109310</v>
      </c>
      <c r="D128" s="1159">
        <v>455.98</v>
      </c>
      <c r="E128" s="131">
        <f>'Wrksht. H, CWIP Desc. EKS'!D127</f>
        <v>0</v>
      </c>
      <c r="F128" s="1158">
        <v>40057</v>
      </c>
      <c r="G128" s="1320">
        <v>40055</v>
      </c>
      <c r="H128" s="1159">
        <v>0</v>
      </c>
      <c r="I128" s="407">
        <f t="shared" si="4"/>
        <v>0</v>
      </c>
    </row>
    <row r="129" spans="1:11">
      <c r="A129" s="239">
        <f t="shared" si="3"/>
        <v>118</v>
      </c>
      <c r="B129" s="117" t="str">
        <f>'Wrksht. H, CWIP Desc. EKS'!B128</f>
        <v>1070002</v>
      </c>
      <c r="C129" s="9" t="str">
        <f>'Wrksht. H, CWIP Desc. EKS'!C128</f>
        <v xml:space="preserve"> 7109318</v>
      </c>
      <c r="D129" s="1159">
        <v>4962.37</v>
      </c>
      <c r="E129" s="131">
        <f>'Wrksht. H, CWIP Desc. EKS'!D128</f>
        <v>0</v>
      </c>
      <c r="F129" s="1158">
        <v>40057</v>
      </c>
      <c r="G129" s="1320">
        <v>40209</v>
      </c>
      <c r="H129" s="1159">
        <v>0</v>
      </c>
      <c r="I129" s="407">
        <f t="shared" si="4"/>
        <v>0</v>
      </c>
    </row>
    <row r="130" spans="1:11">
      <c r="A130" s="239">
        <f t="shared" si="3"/>
        <v>119</v>
      </c>
      <c r="B130" s="117" t="str">
        <f>'Wrksht. H, CWIP Desc. EKS'!B129</f>
        <v>1070002</v>
      </c>
      <c r="C130" s="9" t="str">
        <f>'Wrksht. H, CWIP Desc. EKS'!C129</f>
        <v xml:space="preserve"> 7109320</v>
      </c>
      <c r="D130" s="1159">
        <v>331642.52</v>
      </c>
      <c r="E130" s="131">
        <f>'Wrksht. H, CWIP Desc. EKS'!D129</f>
        <v>0</v>
      </c>
      <c r="F130" s="1158">
        <v>40057</v>
      </c>
      <c r="G130" s="1320">
        <v>40759</v>
      </c>
      <c r="H130" s="1159">
        <v>0</v>
      </c>
      <c r="I130" s="407">
        <f t="shared" si="4"/>
        <v>0</v>
      </c>
    </row>
    <row r="131" spans="1:11">
      <c r="A131" s="239">
        <f t="shared" si="3"/>
        <v>120</v>
      </c>
      <c r="B131" s="117" t="str">
        <f>'Wrksht. H, CWIP Desc. EKS'!B130</f>
        <v>1070002</v>
      </c>
      <c r="C131" s="9" t="str">
        <f>'Wrksht. H, CWIP Desc. EKS'!C130</f>
        <v xml:space="preserve"> 7109325</v>
      </c>
      <c r="D131" s="1159">
        <v>42863.39</v>
      </c>
      <c r="E131" s="131">
        <f>'Wrksht. H, CWIP Desc. EKS'!D130</f>
        <v>0</v>
      </c>
      <c r="F131" s="1158">
        <v>40057</v>
      </c>
      <c r="G131" s="1321">
        <v>39822</v>
      </c>
      <c r="H131" s="1159">
        <v>0</v>
      </c>
      <c r="I131" s="407">
        <f t="shared" si="4"/>
        <v>0</v>
      </c>
    </row>
    <row r="132" spans="1:11">
      <c r="A132" s="239">
        <f t="shared" si="3"/>
        <v>121</v>
      </c>
      <c r="B132" s="117" t="str">
        <f>'Wrksht. H, CWIP Desc. EKS'!B131</f>
        <v>1070002</v>
      </c>
      <c r="C132" s="9" t="str">
        <f>'Wrksht. H, CWIP Desc. EKS'!C131</f>
        <v xml:space="preserve"> 7109327</v>
      </c>
      <c r="D132" s="1159">
        <v>15437.2</v>
      </c>
      <c r="E132" s="131">
        <f>'Wrksht. H, CWIP Desc. EKS'!D131</f>
        <v>0</v>
      </c>
      <c r="F132" s="1158">
        <v>40057</v>
      </c>
      <c r="G132" s="1321">
        <v>39822</v>
      </c>
      <c r="H132" s="1159">
        <v>0</v>
      </c>
      <c r="I132" s="407">
        <f t="shared" si="4"/>
        <v>0</v>
      </c>
    </row>
    <row r="133" spans="1:11">
      <c r="A133" s="239">
        <f t="shared" si="3"/>
        <v>122</v>
      </c>
      <c r="B133" s="117" t="str">
        <f>'Wrksht. H, CWIP Desc. EKS'!B132</f>
        <v>1070002</v>
      </c>
      <c r="C133" s="9" t="str">
        <f>'Wrksht. H, CWIP Desc. EKS'!C132</f>
        <v xml:space="preserve"> 7109329</v>
      </c>
      <c r="D133" s="1159">
        <v>45005.25</v>
      </c>
      <c r="E133" s="131">
        <f>'Wrksht. H, CWIP Desc. EKS'!D132</f>
        <v>0</v>
      </c>
      <c r="F133" s="1158">
        <v>40057</v>
      </c>
      <c r="G133" s="1321">
        <v>39822</v>
      </c>
      <c r="H133" s="1159">
        <v>0</v>
      </c>
      <c r="I133" s="407">
        <f t="shared" si="4"/>
        <v>0</v>
      </c>
    </row>
    <row r="134" spans="1:11">
      <c r="A134" s="239">
        <f t="shared" si="3"/>
        <v>123</v>
      </c>
      <c r="B134" s="117" t="str">
        <f>'Wrksht. H, CWIP Desc. EKS'!B133</f>
        <v>1070002</v>
      </c>
      <c r="C134" s="9" t="str">
        <f>'Wrksht. H, CWIP Desc. EKS'!C133</f>
        <v xml:space="preserve"> 7203187</v>
      </c>
      <c r="D134" s="1159">
        <v>171530034.19999999</v>
      </c>
      <c r="E134" s="131">
        <f>'Wrksht. H, CWIP Desc. EKS'!D133</f>
        <v>0</v>
      </c>
      <c r="F134" s="1158">
        <v>40057</v>
      </c>
      <c r="G134" s="1320">
        <v>42069</v>
      </c>
      <c r="H134" s="1159">
        <v>0</v>
      </c>
      <c r="I134" s="407">
        <f t="shared" si="4"/>
        <v>0</v>
      </c>
    </row>
    <row r="135" spans="1:11">
      <c r="A135" s="239">
        <f t="shared" si="3"/>
        <v>124</v>
      </c>
      <c r="B135" s="117" t="str">
        <f>'Wrksht. H, CWIP Desc. EKS'!B134</f>
        <v>1070002</v>
      </c>
      <c r="C135" s="9" t="str">
        <f>'Wrksht. H, CWIP Desc. EKS'!C134</f>
        <v xml:space="preserve"> 7203190</v>
      </c>
      <c r="D135" s="1159">
        <v>200121.82</v>
      </c>
      <c r="E135" s="131">
        <f>'Wrksht. H, CWIP Desc. EKS'!D134</f>
        <v>0</v>
      </c>
      <c r="F135" s="1158">
        <v>40057</v>
      </c>
      <c r="G135" s="1321">
        <v>39912</v>
      </c>
      <c r="H135" s="1159">
        <v>0</v>
      </c>
      <c r="I135" s="407">
        <f t="shared" si="4"/>
        <v>0</v>
      </c>
    </row>
    <row r="136" spans="1:11">
      <c r="A136" s="239">
        <f t="shared" si="3"/>
        <v>125</v>
      </c>
      <c r="B136" s="117" t="str">
        <f>'Wrksht. H, CWIP Desc. EKS'!B135</f>
        <v>1070002</v>
      </c>
      <c r="C136" s="9" t="str">
        <f>'Wrksht. H, CWIP Desc. EKS'!C135</f>
        <v xml:space="preserve"> 7203203</v>
      </c>
      <c r="D136" s="1159">
        <v>604070.94999999995</v>
      </c>
      <c r="E136" s="131">
        <f>'Wrksht. H, CWIP Desc. EKS'!D135</f>
        <v>0</v>
      </c>
      <c r="F136" s="1158">
        <v>40057</v>
      </c>
      <c r="G136" s="1320">
        <v>40238</v>
      </c>
      <c r="H136" s="1159">
        <v>0</v>
      </c>
      <c r="I136" s="407">
        <f t="shared" si="4"/>
        <v>0</v>
      </c>
    </row>
    <row r="137" spans="1:11">
      <c r="A137" s="239">
        <f t="shared" si="3"/>
        <v>126</v>
      </c>
      <c r="B137" s="117" t="str">
        <f>'Wrksht. H, CWIP Desc. EKS'!B136</f>
        <v>1070002</v>
      </c>
      <c r="C137" s="9" t="str">
        <f>'Wrksht. H, CWIP Desc. EKS'!C136</f>
        <v xml:space="preserve"> 7203206</v>
      </c>
      <c r="D137" s="1159">
        <v>1483.08</v>
      </c>
      <c r="E137" s="131">
        <f>'Wrksht. H, CWIP Desc. EKS'!D136</f>
        <v>0</v>
      </c>
      <c r="F137" s="1158">
        <v>40057</v>
      </c>
      <c r="G137" s="1322" t="s">
        <v>1069</v>
      </c>
      <c r="H137" s="1217">
        <v>0</v>
      </c>
      <c r="I137" s="407">
        <f t="shared" si="4"/>
        <v>0</v>
      </c>
    </row>
    <row r="138" spans="1:11">
      <c r="A138" s="239">
        <f t="shared" si="3"/>
        <v>127</v>
      </c>
      <c r="B138" s="117" t="str">
        <f>'Wrksht. H, CWIP Desc. EKS'!B137</f>
        <v>1070002</v>
      </c>
      <c r="C138" s="9" t="str">
        <f>'Wrksht. H, CWIP Desc. EKS'!C137</f>
        <v xml:space="preserve"> 7207459</v>
      </c>
      <c r="D138" s="1159">
        <v>47.26</v>
      </c>
      <c r="E138" s="131">
        <f>'Wrksht. H, CWIP Desc. EKS'!D137</f>
        <v>0</v>
      </c>
      <c r="F138" s="1158">
        <v>40057</v>
      </c>
      <c r="G138" s="1322" t="s">
        <v>1069</v>
      </c>
      <c r="H138" s="1159">
        <v>0</v>
      </c>
      <c r="I138" s="407">
        <f t="shared" si="4"/>
        <v>0</v>
      </c>
    </row>
    <row r="139" spans="1:11">
      <c r="A139" s="239">
        <f t="shared" si="3"/>
        <v>128</v>
      </c>
      <c r="B139" s="117" t="str">
        <f>'Wrksht. H, CWIP Desc. EKS'!B138</f>
        <v>1070002</v>
      </c>
      <c r="C139" s="9" t="str">
        <f>'Wrksht. H, CWIP Desc. EKS'!C138</f>
        <v xml:space="preserve"> 7209247</v>
      </c>
      <c r="D139" s="1159">
        <v>44974.96</v>
      </c>
      <c r="E139" s="131">
        <f>'Wrksht. H, CWIP Desc. EKS'!D138</f>
        <v>0</v>
      </c>
      <c r="F139" s="1158">
        <v>40057</v>
      </c>
      <c r="G139" s="1320">
        <v>40482</v>
      </c>
      <c r="H139" s="1159">
        <v>0</v>
      </c>
      <c r="I139" s="407">
        <f t="shared" si="4"/>
        <v>0</v>
      </c>
      <c r="J139" s="300"/>
      <c r="K139" s="38"/>
    </row>
    <row r="140" spans="1:11">
      <c r="A140" s="239">
        <f t="shared" si="3"/>
        <v>129</v>
      </c>
      <c r="B140" s="117" t="str">
        <f>'Wrksht. H, CWIP Desc. EKS'!B139</f>
        <v>1070002</v>
      </c>
      <c r="C140" s="9" t="str">
        <f>'Wrksht. H, CWIP Desc. EKS'!C139</f>
        <v xml:space="preserve"> 7209251</v>
      </c>
      <c r="D140" s="1159">
        <v>1749.95</v>
      </c>
      <c r="E140" s="131">
        <f>'Wrksht. H, CWIP Desc. EKS'!D139</f>
        <v>0</v>
      </c>
      <c r="F140" s="1158">
        <v>40057</v>
      </c>
      <c r="G140" s="1321">
        <v>39912</v>
      </c>
      <c r="H140" s="1159">
        <v>0</v>
      </c>
      <c r="I140" s="407">
        <f t="shared" si="4"/>
        <v>0</v>
      </c>
    </row>
    <row r="141" spans="1:11">
      <c r="A141" s="239">
        <f t="shared" si="3"/>
        <v>130</v>
      </c>
      <c r="B141" s="117" t="str">
        <f>'Wrksht. H, CWIP Desc. EKS'!B140</f>
        <v>1070002</v>
      </c>
      <c r="C141" s="9" t="str">
        <f>'Wrksht. H, CWIP Desc. EKS'!C140</f>
        <v xml:space="preserve"> 7209259</v>
      </c>
      <c r="D141" s="1159">
        <v>2634.61</v>
      </c>
      <c r="E141" s="131">
        <f>'Wrksht. H, CWIP Desc. EKS'!D140</f>
        <v>0</v>
      </c>
      <c r="F141" s="1158">
        <v>40057</v>
      </c>
      <c r="G141" s="1321">
        <v>39912</v>
      </c>
      <c r="H141" s="1159">
        <v>0</v>
      </c>
      <c r="I141" s="407">
        <f t="shared" si="4"/>
        <v>0</v>
      </c>
    </row>
    <row r="142" spans="1:11">
      <c r="A142" s="239">
        <f t="shared" si="3"/>
        <v>131</v>
      </c>
      <c r="B142" s="117" t="str">
        <f>'Wrksht. H, CWIP Desc. EKS'!B141</f>
        <v>1070002</v>
      </c>
      <c r="C142" s="9" t="str">
        <f>'Wrksht. H, CWIP Desc. EKS'!C141</f>
        <v xml:space="preserve"> 7209260</v>
      </c>
      <c r="D142" s="1159">
        <v>2156.56</v>
      </c>
      <c r="E142" s="131">
        <f>'Wrksht. H, CWIP Desc. EKS'!D141</f>
        <v>0</v>
      </c>
      <c r="F142" s="1158">
        <v>40057</v>
      </c>
      <c r="G142" s="1321">
        <v>39822</v>
      </c>
      <c r="H142" s="1159">
        <v>0</v>
      </c>
      <c r="I142" s="407">
        <f t="shared" si="4"/>
        <v>0</v>
      </c>
    </row>
    <row r="143" spans="1:11">
      <c r="A143" s="239">
        <f t="shared" ref="A143:A206" si="5">A142+1</f>
        <v>132</v>
      </c>
      <c r="B143" s="117" t="str">
        <f>'Wrksht. H, CWIP Desc. EKS'!B142</f>
        <v>1070002</v>
      </c>
      <c r="C143" s="9" t="str">
        <f>'Wrksht. H, CWIP Desc. EKS'!C142</f>
        <v xml:space="preserve"> 7209261</v>
      </c>
      <c r="D143" s="1159">
        <v>16359.08</v>
      </c>
      <c r="E143" s="131">
        <f>'Wrksht. H, CWIP Desc. EKS'!D142</f>
        <v>0</v>
      </c>
      <c r="F143" s="1158">
        <v>40057</v>
      </c>
      <c r="G143" s="1321">
        <v>39822</v>
      </c>
      <c r="H143" s="1159">
        <v>0</v>
      </c>
      <c r="I143" s="407">
        <f t="shared" si="4"/>
        <v>0</v>
      </c>
    </row>
    <row r="144" spans="1:11">
      <c r="A144" s="239">
        <f t="shared" si="5"/>
        <v>133</v>
      </c>
      <c r="B144" s="117" t="str">
        <f>'Wrksht. H, CWIP Desc. EKS'!B143</f>
        <v>1070002</v>
      </c>
      <c r="C144" s="9" t="str">
        <f>'Wrksht. H, CWIP Desc. EKS'!C143</f>
        <v xml:space="preserve"> 7209263</v>
      </c>
      <c r="D144" s="1159">
        <v>9535.7999999999993</v>
      </c>
      <c r="E144" s="131">
        <f>'Wrksht. H, CWIP Desc. EKS'!D143</f>
        <v>0</v>
      </c>
      <c r="F144" s="1158">
        <v>40057</v>
      </c>
      <c r="G144" s="1321">
        <v>39822</v>
      </c>
      <c r="H144" s="1159">
        <v>0</v>
      </c>
      <c r="I144" s="407">
        <f t="shared" si="4"/>
        <v>0</v>
      </c>
    </row>
    <row r="145" spans="1:11">
      <c r="A145" s="239">
        <f t="shared" si="5"/>
        <v>134</v>
      </c>
      <c r="B145" s="117" t="str">
        <f>'Wrksht. H, CWIP Desc. EKS'!B144</f>
        <v>1070002</v>
      </c>
      <c r="C145" s="9" t="str">
        <f>'Wrksht. H, CWIP Desc. EKS'!C144</f>
        <v xml:space="preserve"> 7209264</v>
      </c>
      <c r="D145" s="1159">
        <v>9398.1</v>
      </c>
      <c r="E145" s="131">
        <f>'Wrksht. H, CWIP Desc. EKS'!D144</f>
        <v>0</v>
      </c>
      <c r="F145" s="1158">
        <v>40057</v>
      </c>
      <c r="G145" s="1321">
        <v>39822</v>
      </c>
      <c r="H145" s="1159">
        <v>0</v>
      </c>
      <c r="I145" s="407">
        <f t="shared" si="4"/>
        <v>0</v>
      </c>
    </row>
    <row r="146" spans="1:11">
      <c r="A146" s="239">
        <f t="shared" si="5"/>
        <v>135</v>
      </c>
      <c r="B146" s="117" t="str">
        <f>'Wrksht. H, CWIP Desc. EKS'!B145</f>
        <v>1070002</v>
      </c>
      <c r="C146" s="9" t="str">
        <f>'Wrksht. H, CWIP Desc. EKS'!C145</f>
        <v xml:space="preserve"> 7209265</v>
      </c>
      <c r="D146" s="1159">
        <v>37234.589999999997</v>
      </c>
      <c r="E146" s="131">
        <f>'Wrksht. H, CWIP Desc. EKS'!D145</f>
        <v>0</v>
      </c>
      <c r="F146" s="1158">
        <v>40057</v>
      </c>
      <c r="G146" s="1320">
        <v>40330</v>
      </c>
      <c r="H146" s="1159">
        <v>0</v>
      </c>
      <c r="I146" s="407">
        <f t="shared" si="4"/>
        <v>0</v>
      </c>
      <c r="J146" s="300"/>
      <c r="K146" s="38"/>
    </row>
    <row r="147" spans="1:11">
      <c r="A147" s="239">
        <f t="shared" si="5"/>
        <v>136</v>
      </c>
      <c r="B147" s="117" t="str">
        <f>'Wrksht. H, CWIP Desc. EKS'!B146</f>
        <v>1070002</v>
      </c>
      <c r="C147" s="9" t="str">
        <f>'Wrksht. H, CWIP Desc. EKS'!C146</f>
        <v xml:space="preserve"> 7209274</v>
      </c>
      <c r="D147" s="1159">
        <v>23916.67</v>
      </c>
      <c r="E147" s="131">
        <f>'Wrksht. H, CWIP Desc. EKS'!D146</f>
        <v>0</v>
      </c>
      <c r="F147" s="1158">
        <v>40057</v>
      </c>
      <c r="G147" s="1320">
        <v>40055</v>
      </c>
      <c r="H147" s="1159">
        <v>0</v>
      </c>
      <c r="I147" s="407">
        <f t="shared" ref="I147:I210" si="6">IF((E147-H147)&lt;=1000000,-H147,E147-H147)</f>
        <v>0</v>
      </c>
    </row>
    <row r="148" spans="1:11">
      <c r="A148" s="239">
        <f t="shared" si="5"/>
        <v>137</v>
      </c>
      <c r="B148" s="117" t="str">
        <f>'Wrksht. H, CWIP Desc. EKS'!B147</f>
        <v>1070002</v>
      </c>
      <c r="C148" s="9" t="str">
        <f>'Wrksht. H, CWIP Desc. EKS'!C147</f>
        <v xml:space="preserve"> 7209303</v>
      </c>
      <c r="D148" s="1159">
        <v>1967.42</v>
      </c>
      <c r="E148" s="131">
        <f>'Wrksht. H, CWIP Desc. EKS'!D147</f>
        <v>0</v>
      </c>
      <c r="F148" s="1158">
        <v>40057</v>
      </c>
      <c r="G148" s="1321">
        <v>39822</v>
      </c>
      <c r="H148" s="1159">
        <v>0</v>
      </c>
      <c r="I148" s="407">
        <f t="shared" si="6"/>
        <v>0</v>
      </c>
    </row>
    <row r="149" spans="1:11">
      <c r="A149" s="239">
        <f t="shared" si="5"/>
        <v>138</v>
      </c>
      <c r="B149" s="117" t="str">
        <f>'Wrksht. H, CWIP Desc. EKS'!B148</f>
        <v>1070002</v>
      </c>
      <c r="C149" s="9" t="str">
        <f>'Wrksht. H, CWIP Desc. EKS'!C148</f>
        <v xml:space="preserve"> 7209326</v>
      </c>
      <c r="D149" s="1159">
        <v>12582.04</v>
      </c>
      <c r="E149" s="131">
        <f>'Wrksht. H, CWIP Desc. EKS'!D148</f>
        <v>0</v>
      </c>
      <c r="F149" s="1158">
        <v>40057</v>
      </c>
      <c r="G149" s="1321">
        <v>39822</v>
      </c>
      <c r="H149" s="1159">
        <v>0</v>
      </c>
      <c r="I149" s="407">
        <f t="shared" si="6"/>
        <v>0</v>
      </c>
    </row>
    <row r="150" spans="1:11">
      <c r="A150" s="239">
        <f t="shared" si="5"/>
        <v>139</v>
      </c>
      <c r="B150" s="117" t="str">
        <f>'Wrksht. H, CWIP Desc. EKS'!B149</f>
        <v>1070002</v>
      </c>
      <c r="C150" s="9" t="str">
        <f>'Wrksht. H, CWIP Desc. EKS'!C149</f>
        <v xml:space="preserve"> 7209332</v>
      </c>
      <c r="D150" s="1159">
        <v>12774.48</v>
      </c>
      <c r="E150" s="131">
        <f>'Wrksht. H, CWIP Desc. EKS'!D149</f>
        <v>0</v>
      </c>
      <c r="F150" s="1158">
        <v>40057</v>
      </c>
      <c r="G150" s="1321">
        <v>39912</v>
      </c>
      <c r="H150" s="1159">
        <v>0</v>
      </c>
      <c r="I150" s="407">
        <f t="shared" si="6"/>
        <v>0</v>
      </c>
    </row>
    <row r="151" spans="1:11">
      <c r="A151" s="239">
        <f t="shared" si="5"/>
        <v>140</v>
      </c>
      <c r="B151" s="117" t="str">
        <f>'Wrksht. H, CWIP Desc. EKS'!B150</f>
        <v>1070002</v>
      </c>
      <c r="C151" s="9" t="str">
        <f>'Wrksht. H, CWIP Desc. EKS'!C150</f>
        <v xml:space="preserve"> A00129</v>
      </c>
      <c r="D151" s="1170">
        <v>0.66</v>
      </c>
      <c r="E151" s="131">
        <f>'Wrksht. H, CWIP Desc. EKS'!D150</f>
        <v>0</v>
      </c>
      <c r="F151" s="1158">
        <v>40057</v>
      </c>
      <c r="G151" s="1320">
        <v>39933</v>
      </c>
      <c r="H151" s="1159">
        <v>0</v>
      </c>
      <c r="I151" s="407">
        <f t="shared" si="6"/>
        <v>0</v>
      </c>
    </row>
    <row r="152" spans="1:11">
      <c r="A152" s="239">
        <f t="shared" si="5"/>
        <v>141</v>
      </c>
      <c r="B152" s="117" t="str">
        <f>'Wrksht. H, CWIP Desc. EKS'!B151</f>
        <v>1070002</v>
      </c>
      <c r="C152" s="9" t="str">
        <f>'Wrksht. H, CWIP Desc. EKS'!C151</f>
        <v xml:space="preserve"> A00176</v>
      </c>
      <c r="D152" s="1170">
        <v>0.42</v>
      </c>
      <c r="E152" s="131">
        <f>'Wrksht. H, CWIP Desc. EKS'!D151</f>
        <v>0</v>
      </c>
      <c r="F152" s="1158">
        <v>40057</v>
      </c>
      <c r="G152" s="1320">
        <v>40547</v>
      </c>
      <c r="H152" s="1159">
        <v>0</v>
      </c>
      <c r="I152" s="407">
        <f t="shared" si="6"/>
        <v>0</v>
      </c>
    </row>
    <row r="153" spans="1:11">
      <c r="A153" s="239">
        <f t="shared" si="5"/>
        <v>142</v>
      </c>
      <c r="B153" s="117" t="str">
        <f>'Wrksht. H, CWIP Desc. EKS'!B152</f>
        <v>1070002</v>
      </c>
      <c r="C153" s="9" t="str">
        <f>'Wrksht. H, CWIP Desc. EKS'!C152</f>
        <v xml:space="preserve"> A02970</v>
      </c>
      <c r="D153" s="1159">
        <v>76.2</v>
      </c>
      <c r="E153" s="131">
        <f>'Wrksht. H, CWIP Desc. EKS'!D152</f>
        <v>0</v>
      </c>
      <c r="F153" s="1320">
        <v>40057</v>
      </c>
      <c r="G153" s="1322" t="s">
        <v>1069</v>
      </c>
      <c r="H153" s="1322">
        <v>0</v>
      </c>
      <c r="I153" s="407">
        <f t="shared" si="6"/>
        <v>0</v>
      </c>
    </row>
    <row r="154" spans="1:11">
      <c r="A154" s="239">
        <f t="shared" si="5"/>
        <v>143</v>
      </c>
      <c r="B154" s="117" t="str">
        <f>'Wrksht. H, CWIP Desc. EKS'!B153</f>
        <v>1070002</v>
      </c>
      <c r="C154" s="9" t="str">
        <f>'Wrksht. H, CWIP Desc. EKS'!C153</f>
        <v xml:space="preserve"> B02819</v>
      </c>
      <c r="D154" s="1159">
        <v>7024.37</v>
      </c>
      <c r="E154" s="131">
        <f>'Wrksht. H, CWIP Desc. EKS'!D153</f>
        <v>0</v>
      </c>
      <c r="F154" s="1320">
        <v>40057</v>
      </c>
      <c r="G154" s="1322" t="s">
        <v>1069</v>
      </c>
      <c r="H154" s="1322">
        <v>0</v>
      </c>
      <c r="I154" s="407">
        <f t="shared" si="6"/>
        <v>0</v>
      </c>
    </row>
    <row r="155" spans="1:11">
      <c r="A155" s="239">
        <f t="shared" si="5"/>
        <v>144</v>
      </c>
      <c r="B155" s="117" t="str">
        <f>'Wrksht. H, CWIP Desc. EKS'!B154</f>
        <v>1070002</v>
      </c>
      <c r="C155" s="9" t="str">
        <f>'Wrksht. H, CWIP Desc. EKS'!C154</f>
        <v xml:space="preserve"> C10100</v>
      </c>
      <c r="D155" s="1159">
        <v>613.14</v>
      </c>
      <c r="E155" s="131">
        <f>'Wrksht. H, CWIP Desc. EKS'!D154</f>
        <v>0</v>
      </c>
      <c r="F155" s="1320">
        <v>40057</v>
      </c>
      <c r="G155" s="1322" t="s">
        <v>1069</v>
      </c>
      <c r="H155" s="1322">
        <v>0</v>
      </c>
      <c r="I155" s="407">
        <f t="shared" si="6"/>
        <v>0</v>
      </c>
    </row>
    <row r="156" spans="1:11">
      <c r="A156" s="239">
        <f t="shared" si="5"/>
        <v>145</v>
      </c>
      <c r="B156" s="117" t="str">
        <f>'Wrksht. H, CWIP Desc. EKS'!B155</f>
        <v>1070002</v>
      </c>
      <c r="C156" s="9" t="str">
        <f>'Wrksht. H, CWIP Desc. EKS'!C155</f>
        <v xml:space="preserve"> A11738</v>
      </c>
      <c r="D156" s="1159">
        <v>89365.47</v>
      </c>
      <c r="E156" s="131">
        <f>'Wrksht. H, CWIP Desc. EKS'!D155</f>
        <v>0</v>
      </c>
      <c r="F156" s="1320">
        <v>40057</v>
      </c>
      <c r="G156" s="1325">
        <v>41206</v>
      </c>
      <c r="H156" s="1322">
        <v>0</v>
      </c>
      <c r="I156" s="407">
        <f t="shared" si="6"/>
        <v>0</v>
      </c>
    </row>
    <row r="157" spans="1:11">
      <c r="A157" s="239">
        <f t="shared" si="5"/>
        <v>146</v>
      </c>
      <c r="B157" s="412">
        <f>'Wrksht. H, CWIP Desc. EKS'!B156</f>
        <v>1070004</v>
      </c>
      <c r="C157" s="9" t="str">
        <f>'Wrksht. H, CWIP Desc. EKS'!C156</f>
        <v>003467</v>
      </c>
      <c r="D157" s="1159">
        <v>1172622.1399999999</v>
      </c>
      <c r="E157" s="131">
        <f>'Wrksht. H, CWIP Desc. EKS'!D156</f>
        <v>0</v>
      </c>
      <c r="F157" s="1320">
        <v>40057</v>
      </c>
      <c r="G157" s="1320">
        <v>40086</v>
      </c>
      <c r="H157" s="1322">
        <v>0</v>
      </c>
      <c r="I157" s="407">
        <f t="shared" si="6"/>
        <v>0</v>
      </c>
    </row>
    <row r="158" spans="1:11">
      <c r="A158" s="239">
        <f t="shared" si="5"/>
        <v>147</v>
      </c>
      <c r="B158" s="412">
        <f>'Wrksht. H, CWIP Desc. EKS'!B157</f>
        <v>1070004</v>
      </c>
      <c r="C158" s="9" t="str">
        <f>'Wrksht. H, CWIP Desc. EKS'!C157</f>
        <v>003812</v>
      </c>
      <c r="D158" s="1170">
        <v>-0.01</v>
      </c>
      <c r="E158" s="131">
        <f>'Wrksht. H, CWIP Desc. EKS'!D157</f>
        <v>0</v>
      </c>
      <c r="F158" s="1320">
        <v>40057</v>
      </c>
      <c r="G158" s="1322" t="s">
        <v>998</v>
      </c>
      <c r="H158" s="1322">
        <v>0</v>
      </c>
      <c r="I158" s="407">
        <f t="shared" si="6"/>
        <v>0</v>
      </c>
    </row>
    <row r="159" spans="1:11">
      <c r="A159" s="239">
        <f t="shared" si="5"/>
        <v>148</v>
      </c>
      <c r="B159" s="412">
        <f>'Wrksht. H, CWIP Desc. EKS'!B158</f>
        <v>1070004</v>
      </c>
      <c r="C159" s="9" t="str">
        <f>'Wrksht. H, CWIP Desc. EKS'!C158</f>
        <v>004581</v>
      </c>
      <c r="D159" s="1170">
        <v>-0.02</v>
      </c>
      <c r="E159" s="131">
        <f>'Wrksht. H, CWIP Desc. EKS'!D158</f>
        <v>0</v>
      </c>
      <c r="F159" s="1320">
        <v>40057</v>
      </c>
      <c r="G159" s="1322" t="s">
        <v>998</v>
      </c>
      <c r="H159" s="1322">
        <v>0</v>
      </c>
      <c r="I159" s="407">
        <f t="shared" si="6"/>
        <v>0</v>
      </c>
    </row>
    <row r="160" spans="1:11">
      <c r="A160" s="239">
        <f t="shared" si="5"/>
        <v>149</v>
      </c>
      <c r="B160" s="412">
        <f>'Wrksht. H, CWIP Desc. EKS'!B159</f>
        <v>1070004</v>
      </c>
      <c r="C160" s="9" t="str">
        <f>'Wrksht. H, CWIP Desc. EKS'!C159</f>
        <v>005657</v>
      </c>
      <c r="D160" s="1170">
        <v>0.01</v>
      </c>
      <c r="E160" s="131">
        <f>'Wrksht. H, CWIP Desc. EKS'!D159</f>
        <v>0</v>
      </c>
      <c r="F160" s="1320">
        <v>40057</v>
      </c>
      <c r="G160" s="1322" t="s">
        <v>998</v>
      </c>
      <c r="H160" s="1322">
        <v>0</v>
      </c>
      <c r="I160" s="407">
        <f t="shared" si="6"/>
        <v>0</v>
      </c>
    </row>
    <row r="161" spans="1:9">
      <c r="A161" s="239">
        <f t="shared" si="5"/>
        <v>150</v>
      </c>
      <c r="B161" s="412">
        <f>'Wrksht. H, CWIP Desc. EKS'!B160</f>
        <v>1070004</v>
      </c>
      <c r="C161" s="9" t="str">
        <f>'Wrksht. H, CWIP Desc. EKS'!C160</f>
        <v>005945</v>
      </c>
      <c r="D161" s="1170">
        <v>-0.02</v>
      </c>
      <c r="E161" s="131">
        <f>'Wrksht. H, CWIP Desc. EKS'!D160</f>
        <v>0</v>
      </c>
      <c r="F161" s="1320">
        <v>40057</v>
      </c>
      <c r="G161" s="1322" t="s">
        <v>998</v>
      </c>
      <c r="H161" s="1322">
        <v>0</v>
      </c>
      <c r="I161" s="407">
        <f t="shared" si="6"/>
        <v>0</v>
      </c>
    </row>
    <row r="162" spans="1:9">
      <c r="A162" s="239">
        <f t="shared" si="5"/>
        <v>151</v>
      </c>
      <c r="B162" s="412">
        <f>'Wrksht. H, CWIP Desc. EKS'!B161</f>
        <v>1070004</v>
      </c>
      <c r="C162" s="9" t="str">
        <f>'Wrksht. H, CWIP Desc. EKS'!C161</f>
        <v>009819</v>
      </c>
      <c r="D162" s="1159">
        <v>177124.64</v>
      </c>
      <c r="E162" s="131">
        <f>'Wrksht. H, CWIP Desc. EKS'!D161</f>
        <v>0</v>
      </c>
      <c r="F162" s="1320">
        <v>40057</v>
      </c>
      <c r="G162" s="1320">
        <v>40723</v>
      </c>
      <c r="H162" s="1322">
        <v>0</v>
      </c>
      <c r="I162" s="407">
        <f t="shared" si="6"/>
        <v>0</v>
      </c>
    </row>
    <row r="163" spans="1:9">
      <c r="A163" s="239">
        <f t="shared" si="5"/>
        <v>152</v>
      </c>
      <c r="B163" s="412">
        <f>'Wrksht. H, CWIP Desc. EKS'!B162</f>
        <v>1070004</v>
      </c>
      <c r="C163" s="9" t="str">
        <f>'Wrksht. H, CWIP Desc. EKS'!C162</f>
        <v>009890</v>
      </c>
      <c r="D163" s="1159">
        <v>769559.73</v>
      </c>
      <c r="E163" s="131">
        <f>'Wrksht. H, CWIP Desc. EKS'!D162</f>
        <v>0</v>
      </c>
      <c r="F163" s="1320">
        <v>40057</v>
      </c>
      <c r="G163" s="1326">
        <v>39822</v>
      </c>
      <c r="H163" s="1322">
        <v>0</v>
      </c>
      <c r="I163" s="407">
        <f t="shared" si="6"/>
        <v>0</v>
      </c>
    </row>
    <row r="164" spans="1:9">
      <c r="A164" s="239">
        <f t="shared" si="5"/>
        <v>153</v>
      </c>
      <c r="B164" s="412">
        <f>'Wrksht. H, CWIP Desc. EKS'!B163</f>
        <v>1070004</v>
      </c>
      <c r="C164" s="9" t="str">
        <f>'Wrksht. H, CWIP Desc. EKS'!C163</f>
        <v>010279</v>
      </c>
      <c r="D164" s="1159">
        <v>57782.49</v>
      </c>
      <c r="E164" s="131">
        <f>'Wrksht. H, CWIP Desc. EKS'!D163</f>
        <v>0</v>
      </c>
      <c r="F164" s="1320">
        <v>40057</v>
      </c>
      <c r="G164" s="1320">
        <v>42290</v>
      </c>
      <c r="H164" s="1322">
        <v>0</v>
      </c>
      <c r="I164" s="407">
        <f t="shared" si="6"/>
        <v>0</v>
      </c>
    </row>
    <row r="165" spans="1:9">
      <c r="A165" s="239">
        <f t="shared" si="5"/>
        <v>154</v>
      </c>
      <c r="B165" s="412">
        <f>'Wrksht. H, CWIP Desc. EKS'!B164</f>
        <v>1070004</v>
      </c>
      <c r="C165" s="9" t="str">
        <f>'Wrksht. H, CWIP Desc. EKS'!C164</f>
        <v>011018</v>
      </c>
      <c r="D165" s="1159">
        <v>3198.23</v>
      </c>
      <c r="E165" s="131">
        <f>'Wrksht. H, CWIP Desc. EKS'!D164</f>
        <v>0</v>
      </c>
      <c r="F165" s="1320">
        <v>40057</v>
      </c>
      <c r="G165" s="1320">
        <v>40645</v>
      </c>
      <c r="H165" s="1322">
        <v>0</v>
      </c>
      <c r="I165" s="407">
        <f t="shared" si="6"/>
        <v>0</v>
      </c>
    </row>
    <row r="166" spans="1:9">
      <c r="A166" s="239">
        <f t="shared" si="5"/>
        <v>155</v>
      </c>
      <c r="B166" s="412">
        <f>'Wrksht. H, CWIP Desc. EKS'!B165</f>
        <v>1070004</v>
      </c>
      <c r="C166" s="9" t="str">
        <f>'Wrksht. H, CWIP Desc. EKS'!C165</f>
        <v>011347</v>
      </c>
      <c r="D166" s="1159">
        <v>178702.64</v>
      </c>
      <c r="E166" s="131">
        <f>'Wrksht. H, CWIP Desc. EKS'!D165</f>
        <v>0</v>
      </c>
      <c r="F166" s="1320">
        <v>40057</v>
      </c>
      <c r="G166" s="1322" t="s">
        <v>1068</v>
      </c>
      <c r="H166" s="1322">
        <v>0</v>
      </c>
      <c r="I166" s="407">
        <f t="shared" si="6"/>
        <v>0</v>
      </c>
    </row>
    <row r="167" spans="1:9">
      <c r="A167" s="239">
        <f t="shared" si="5"/>
        <v>156</v>
      </c>
      <c r="B167" s="412">
        <f>'Wrksht. H, CWIP Desc. EKS'!B166</f>
        <v>1070004</v>
      </c>
      <c r="C167" s="9" t="str">
        <f>'Wrksht. H, CWIP Desc. EKS'!C166</f>
        <v>011354</v>
      </c>
      <c r="D167" s="1159">
        <v>0</v>
      </c>
      <c r="E167" s="131">
        <f>'Wrksht. H, CWIP Desc. EKS'!D166</f>
        <v>0</v>
      </c>
      <c r="F167" s="1320">
        <v>40057</v>
      </c>
      <c r="G167" s="1320">
        <v>40723</v>
      </c>
      <c r="H167" s="1322">
        <v>0</v>
      </c>
      <c r="I167" s="407">
        <f t="shared" si="6"/>
        <v>0</v>
      </c>
    </row>
    <row r="168" spans="1:9">
      <c r="A168" s="239">
        <f t="shared" si="5"/>
        <v>157</v>
      </c>
      <c r="B168" s="412">
        <f>'Wrksht. H, CWIP Desc. EKS'!B167</f>
        <v>1070004</v>
      </c>
      <c r="C168" s="9" t="str">
        <f>'Wrksht. H, CWIP Desc. EKS'!C167</f>
        <v>011373</v>
      </c>
      <c r="D168" s="1159">
        <v>139142.06</v>
      </c>
      <c r="E168" s="131">
        <f>'Wrksht. H, CWIP Desc. EKS'!D167</f>
        <v>0</v>
      </c>
      <c r="F168" s="1320">
        <v>40057</v>
      </c>
      <c r="G168" s="1322" t="s">
        <v>1068</v>
      </c>
      <c r="H168" s="1322">
        <v>0</v>
      </c>
      <c r="I168" s="407">
        <f t="shared" si="6"/>
        <v>0</v>
      </c>
    </row>
    <row r="169" spans="1:9">
      <c r="A169" s="239">
        <f t="shared" si="5"/>
        <v>158</v>
      </c>
      <c r="B169" s="412">
        <f>'Wrksht. H, CWIP Desc. EKS'!B168</f>
        <v>1070004</v>
      </c>
      <c r="C169" s="9" t="str">
        <f>'Wrksht. H, CWIP Desc. EKS'!C168</f>
        <v>011415</v>
      </c>
      <c r="D169" s="1159">
        <v>632902.94999999995</v>
      </c>
      <c r="E169" s="131">
        <f>'Wrksht. H, CWIP Desc. EKS'!D168</f>
        <v>0</v>
      </c>
      <c r="F169" s="1320">
        <v>40057</v>
      </c>
      <c r="G169" s="1322">
        <v>0</v>
      </c>
      <c r="H169" s="1322">
        <v>0</v>
      </c>
      <c r="I169" s="407">
        <f t="shared" si="6"/>
        <v>0</v>
      </c>
    </row>
    <row r="170" spans="1:9">
      <c r="A170" s="239">
        <f t="shared" si="5"/>
        <v>159</v>
      </c>
      <c r="B170" s="412">
        <f>'Wrksht. H, CWIP Desc. EKS'!B169</f>
        <v>1070004</v>
      </c>
      <c r="C170" s="9" t="str">
        <f>'Wrksht. H, CWIP Desc. EKS'!C169</f>
        <v>011504</v>
      </c>
      <c r="D170" s="1159">
        <v>-438.38</v>
      </c>
      <c r="E170" s="131">
        <f>'Wrksht. H, CWIP Desc. EKS'!D169</f>
        <v>0</v>
      </c>
      <c r="F170" s="1320">
        <v>40057</v>
      </c>
      <c r="G170" s="1320">
        <v>40261</v>
      </c>
      <c r="H170" s="1322">
        <v>0</v>
      </c>
      <c r="I170" s="407">
        <f t="shared" si="6"/>
        <v>0</v>
      </c>
    </row>
    <row r="171" spans="1:9">
      <c r="A171" s="239">
        <f t="shared" si="5"/>
        <v>160</v>
      </c>
      <c r="B171" s="412">
        <f>'Wrksht. H, CWIP Desc. EKS'!B170</f>
        <v>1070004</v>
      </c>
      <c r="C171" s="9" t="str">
        <f>'Wrksht. H, CWIP Desc. EKS'!C170</f>
        <v>011607</v>
      </c>
      <c r="D171" s="1159">
        <v>431712.01</v>
      </c>
      <c r="E171" s="131">
        <f>'Wrksht. H, CWIP Desc. EKS'!D170</f>
        <v>0</v>
      </c>
      <c r="F171" s="1320">
        <v>40057</v>
      </c>
      <c r="G171" s="1320">
        <v>41382</v>
      </c>
      <c r="H171" s="1322">
        <v>0</v>
      </c>
      <c r="I171" s="407">
        <f t="shared" si="6"/>
        <v>0</v>
      </c>
    </row>
    <row r="172" spans="1:9">
      <c r="A172" s="239">
        <f t="shared" si="5"/>
        <v>161</v>
      </c>
      <c r="B172" s="412">
        <f>'Wrksht. H, CWIP Desc. EKS'!B171</f>
        <v>1070004</v>
      </c>
      <c r="C172" s="9" t="str">
        <f>'Wrksht. H, CWIP Desc. EKS'!C171</f>
        <v>011613</v>
      </c>
      <c r="D172" s="1159">
        <v>240589.25</v>
      </c>
      <c r="E172" s="131">
        <f>'Wrksht. H, CWIP Desc. EKS'!D171</f>
        <v>0</v>
      </c>
      <c r="F172" s="1320">
        <v>40057</v>
      </c>
      <c r="G172" s="1320">
        <v>40134</v>
      </c>
      <c r="H172" s="1322">
        <v>0</v>
      </c>
      <c r="I172" s="407">
        <f t="shared" si="6"/>
        <v>0</v>
      </c>
    </row>
    <row r="173" spans="1:9">
      <c r="A173" s="239">
        <f t="shared" si="5"/>
        <v>162</v>
      </c>
      <c r="B173" s="412">
        <f>'Wrksht. H, CWIP Desc. EKS'!B172</f>
        <v>1070004</v>
      </c>
      <c r="C173" s="9" t="str">
        <f>'Wrksht. H, CWIP Desc. EKS'!C172</f>
        <v>011868</v>
      </c>
      <c r="D173" s="1159">
        <v>14309.14</v>
      </c>
      <c r="E173" s="131">
        <f>'Wrksht. H, CWIP Desc. EKS'!D172</f>
        <v>0</v>
      </c>
      <c r="F173" s="1320">
        <v>40057</v>
      </c>
      <c r="G173" s="1320">
        <v>41211</v>
      </c>
      <c r="H173" s="1322">
        <v>0</v>
      </c>
      <c r="I173" s="407">
        <f t="shared" si="6"/>
        <v>0</v>
      </c>
    </row>
    <row r="174" spans="1:9">
      <c r="A174" s="239">
        <f t="shared" si="5"/>
        <v>163</v>
      </c>
      <c r="B174" s="412">
        <f>'Wrksht. H, CWIP Desc. EKS'!B173</f>
        <v>1070004</v>
      </c>
      <c r="C174" s="613" t="str">
        <f>'Wrksht. H, CWIP Desc. EKS'!C173</f>
        <v>011904</v>
      </c>
      <c r="D174" s="1159">
        <v>204016.25</v>
      </c>
      <c r="E174" s="131">
        <f>'Wrksht. H, CWIP Desc. EKS'!D173</f>
        <v>0</v>
      </c>
      <c r="F174" s="1320">
        <v>40057</v>
      </c>
      <c r="G174" s="1320">
        <v>41962</v>
      </c>
      <c r="H174" s="1322">
        <v>0</v>
      </c>
      <c r="I174" s="407">
        <f t="shared" si="6"/>
        <v>0</v>
      </c>
    </row>
    <row r="175" spans="1:9">
      <c r="A175" s="239">
        <f t="shared" si="5"/>
        <v>164</v>
      </c>
      <c r="B175" s="412">
        <f>'Wrksht. H, CWIP Desc. EKS'!B174</f>
        <v>1070004</v>
      </c>
      <c r="C175" s="9" t="str">
        <f>'Wrksht. H, CWIP Desc. EKS'!C174</f>
        <v>012135</v>
      </c>
      <c r="D175" s="1159">
        <v>7266.9</v>
      </c>
      <c r="E175" s="131">
        <f>'Wrksht. H, CWIP Desc. EKS'!D174</f>
        <v>0</v>
      </c>
      <c r="F175" s="1320">
        <v>40057</v>
      </c>
      <c r="G175" s="1320">
        <v>41424</v>
      </c>
      <c r="H175" s="1322">
        <v>0</v>
      </c>
      <c r="I175" s="407">
        <f t="shared" si="6"/>
        <v>0</v>
      </c>
    </row>
    <row r="176" spans="1:9">
      <c r="A176" s="239">
        <f t="shared" si="5"/>
        <v>165</v>
      </c>
      <c r="B176" s="412">
        <f>'Wrksht. H, CWIP Desc. EKS'!B175</f>
        <v>1070004</v>
      </c>
      <c r="C176" s="9" t="str">
        <f>'Wrksht. H, CWIP Desc. EKS'!C175</f>
        <v>012192</v>
      </c>
      <c r="D176" s="1159">
        <v>12228.409999999683</v>
      </c>
      <c r="E176" s="131">
        <f>'Wrksht. H, CWIP Desc. EKS'!D175</f>
        <v>0</v>
      </c>
      <c r="F176" s="1320">
        <v>40057</v>
      </c>
      <c r="G176" s="1320">
        <v>41789</v>
      </c>
      <c r="H176" s="1322">
        <v>0</v>
      </c>
      <c r="I176" s="407">
        <f t="shared" si="6"/>
        <v>0</v>
      </c>
    </row>
    <row r="177" spans="1:11">
      <c r="A177" s="239">
        <f t="shared" si="5"/>
        <v>166</v>
      </c>
      <c r="B177" s="412">
        <f>'Wrksht. H, CWIP Desc. EKS'!B176</f>
        <v>1070004</v>
      </c>
      <c r="C177" s="9" t="str">
        <f>'Wrksht. H, CWIP Desc. EKS'!C176</f>
        <v>012327</v>
      </c>
      <c r="D177" s="1159">
        <v>713940.44</v>
      </c>
      <c r="E177" s="131">
        <f>'Wrksht. H, CWIP Desc. EKS'!D176</f>
        <v>133677.35</v>
      </c>
      <c r="F177" s="1320">
        <v>40057</v>
      </c>
      <c r="G177" s="1322">
        <v>0</v>
      </c>
      <c r="H177" s="1322">
        <v>4115.6000000000004</v>
      </c>
      <c r="I177" s="407">
        <f>IF((E177-H177)&lt;=1000000,-H177,E177-H177)</f>
        <v>-4115.6000000000004</v>
      </c>
    </row>
    <row r="178" spans="1:11">
      <c r="A178" s="239">
        <f t="shared" si="5"/>
        <v>167</v>
      </c>
      <c r="B178" s="1174">
        <f>'Wrksht. H, CWIP Desc. EKS'!B177</f>
        <v>1070004</v>
      </c>
      <c r="C178" s="9" t="str">
        <f>'Wrksht. H, CWIP Desc. EKS'!C177</f>
        <v>012348</v>
      </c>
      <c r="D178" s="1213">
        <v>466.25</v>
      </c>
      <c r="E178" s="131">
        <f>'Wrksht. H, CWIP Desc. EKS'!D177</f>
        <v>0</v>
      </c>
      <c r="F178" s="1320">
        <v>40057</v>
      </c>
      <c r="G178" s="1322" t="s">
        <v>998</v>
      </c>
      <c r="H178" s="1322">
        <v>0</v>
      </c>
      <c r="I178" s="407">
        <f t="shared" si="6"/>
        <v>0</v>
      </c>
    </row>
    <row r="179" spans="1:11">
      <c r="A179" s="239">
        <f t="shared" si="5"/>
        <v>168</v>
      </c>
      <c r="B179" s="412">
        <f>'Wrksht. H, CWIP Desc. EKS'!B178</f>
        <v>1070004</v>
      </c>
      <c r="C179" s="9" t="str">
        <f>'Wrksht. H, CWIP Desc. EKS'!C178</f>
        <v>012366</v>
      </c>
      <c r="D179" s="1159">
        <v>70264.97</v>
      </c>
      <c r="E179" s="131">
        <f>'Wrksht. H, CWIP Desc. EKS'!D178</f>
        <v>0</v>
      </c>
      <c r="F179" s="1320">
        <v>40057</v>
      </c>
      <c r="G179" s="1320">
        <v>40134</v>
      </c>
      <c r="H179" s="1322">
        <v>0</v>
      </c>
      <c r="I179" s="407">
        <f t="shared" si="6"/>
        <v>0</v>
      </c>
    </row>
    <row r="180" spans="1:11">
      <c r="A180" s="239">
        <f t="shared" si="5"/>
        <v>169</v>
      </c>
      <c r="B180" s="412">
        <f>'Wrksht. H, CWIP Desc. EKS'!B179</f>
        <v>1070004</v>
      </c>
      <c r="C180" s="9" t="str">
        <f>'Wrksht. H, CWIP Desc. EKS'!C179</f>
        <v>012413</v>
      </c>
      <c r="D180" s="1159">
        <v>303880.43</v>
      </c>
      <c r="E180" s="131">
        <f>'Wrksht. H, CWIP Desc. EKS'!D179</f>
        <v>0</v>
      </c>
      <c r="F180" s="1320">
        <v>40057</v>
      </c>
      <c r="G180" s="1320">
        <v>40135</v>
      </c>
      <c r="H180" s="1322">
        <v>0</v>
      </c>
      <c r="I180" s="407">
        <f t="shared" si="6"/>
        <v>0</v>
      </c>
    </row>
    <row r="181" spans="1:11">
      <c r="A181" s="239">
        <f t="shared" si="5"/>
        <v>170</v>
      </c>
      <c r="B181" s="412">
        <f>'Wrksht. H, CWIP Desc. EKS'!B180</f>
        <v>1070004</v>
      </c>
      <c r="C181" s="9" t="str">
        <f>'Wrksht. H, CWIP Desc. EKS'!C180</f>
        <v>012444</v>
      </c>
      <c r="D181" s="1159">
        <v>85749.71</v>
      </c>
      <c r="E181" s="131">
        <f>'Wrksht. H, CWIP Desc. EKS'!D180</f>
        <v>0</v>
      </c>
      <c r="F181" s="1320">
        <v>40057</v>
      </c>
      <c r="G181" s="1322" t="s">
        <v>1069</v>
      </c>
      <c r="H181" s="1322">
        <v>0</v>
      </c>
      <c r="I181" s="407">
        <f>IF((E181-H181)&lt;=1000000,-H181,E181-H181)</f>
        <v>0</v>
      </c>
    </row>
    <row r="182" spans="1:11">
      <c r="A182" s="239">
        <f t="shared" si="5"/>
        <v>171</v>
      </c>
      <c r="B182" s="412">
        <f>'Wrksht. H, CWIP Desc. EKS'!B181</f>
        <v>1070004</v>
      </c>
      <c r="C182" s="9" t="str">
        <f>'Wrksht. H, CWIP Desc. EKS'!C181</f>
        <v>012485</v>
      </c>
      <c r="D182" s="1159">
        <v>48.26</v>
      </c>
      <c r="E182" s="131">
        <f>'Wrksht. H, CWIP Desc. EKS'!D181</f>
        <v>0</v>
      </c>
      <c r="F182" s="1320">
        <v>40057</v>
      </c>
      <c r="G182" s="1320">
        <v>41659</v>
      </c>
      <c r="H182" s="1322">
        <v>0</v>
      </c>
      <c r="I182" s="407">
        <f t="shared" si="6"/>
        <v>0</v>
      </c>
    </row>
    <row r="183" spans="1:11">
      <c r="A183" s="239">
        <f t="shared" si="5"/>
        <v>172</v>
      </c>
      <c r="B183" s="412">
        <f>'Wrksht. H, CWIP Desc. EKS'!B182</f>
        <v>1070004</v>
      </c>
      <c r="C183" s="9" t="str">
        <f>'Wrksht. H, CWIP Desc. EKS'!C182</f>
        <v>012503</v>
      </c>
      <c r="D183" s="1159">
        <v>288276.46000000002</v>
      </c>
      <c r="E183" s="131">
        <f>'Wrksht. H, CWIP Desc. EKS'!D182</f>
        <v>0</v>
      </c>
      <c r="F183" s="1320">
        <v>40057</v>
      </c>
      <c r="G183" s="1320">
        <v>40162</v>
      </c>
      <c r="H183" s="1322">
        <v>0</v>
      </c>
      <c r="I183" s="407">
        <f t="shared" si="6"/>
        <v>0</v>
      </c>
    </row>
    <row r="184" spans="1:11">
      <c r="A184" s="239">
        <f t="shared" si="5"/>
        <v>173</v>
      </c>
      <c r="B184" s="412">
        <f>'Wrksht. H, CWIP Desc. EKS'!B183</f>
        <v>1070004</v>
      </c>
      <c r="C184" s="9" t="str">
        <f>'Wrksht. H, CWIP Desc. EKS'!C183</f>
        <v>012504</v>
      </c>
      <c r="D184" s="1159">
        <v>553078</v>
      </c>
      <c r="E184" s="131">
        <f>'Wrksht. H, CWIP Desc. EKS'!D183</f>
        <v>0</v>
      </c>
      <c r="F184" s="1320">
        <v>40057</v>
      </c>
      <c r="G184" s="1320">
        <v>40374</v>
      </c>
      <c r="H184" s="1322">
        <v>0</v>
      </c>
      <c r="I184" s="407">
        <f t="shared" si="6"/>
        <v>0</v>
      </c>
    </row>
    <row r="185" spans="1:11">
      <c r="A185" s="239">
        <f t="shared" si="5"/>
        <v>174</v>
      </c>
      <c r="B185" s="412">
        <f>'Wrksht. H, CWIP Desc. EKS'!B184</f>
        <v>1070004</v>
      </c>
      <c r="C185" s="9" t="str">
        <f>'Wrksht. H, CWIP Desc. EKS'!C184</f>
        <v>012513</v>
      </c>
      <c r="D185" s="1159">
        <v>5241606.71</v>
      </c>
      <c r="E185" s="131">
        <f>'Wrksht. H, CWIP Desc. EKS'!D184</f>
        <v>0</v>
      </c>
      <c r="F185" s="1320">
        <v>40057</v>
      </c>
      <c r="G185" s="1320">
        <v>44321</v>
      </c>
      <c r="H185" s="1322">
        <v>0</v>
      </c>
      <c r="I185" s="407">
        <f>IF((E185-H185)&lt;=1000000,-H185,E185-H185)</f>
        <v>0</v>
      </c>
    </row>
    <row r="186" spans="1:11">
      <c r="A186" s="239">
        <f t="shared" si="5"/>
        <v>175</v>
      </c>
      <c r="B186" s="412">
        <f>'Wrksht. H, CWIP Desc. EKS'!B185</f>
        <v>1070004</v>
      </c>
      <c r="C186" s="9" t="str">
        <f>'Wrksht. H, CWIP Desc. EKS'!C185</f>
        <v>012520</v>
      </c>
      <c r="D186" s="1159">
        <v>18182.84</v>
      </c>
      <c r="E186" s="131">
        <f>'Wrksht. H, CWIP Desc. EKS'!D185</f>
        <v>0</v>
      </c>
      <c r="F186" s="1320">
        <v>40057</v>
      </c>
      <c r="G186" s="1320">
        <v>40897</v>
      </c>
      <c r="H186" s="1322">
        <v>0</v>
      </c>
      <c r="I186" s="407">
        <f t="shared" si="6"/>
        <v>0</v>
      </c>
    </row>
    <row r="187" spans="1:11">
      <c r="A187" s="1173">
        <f t="shared" si="5"/>
        <v>176</v>
      </c>
      <c r="B187" s="1174">
        <f>'Wrksht. H, CWIP Desc. EKS'!B186</f>
        <v>1070004</v>
      </c>
      <c r="C187" s="1246" t="str">
        <f>'Wrksht. H, CWIP Desc. EKS'!C186</f>
        <v>012548</v>
      </c>
      <c r="D187" s="1213">
        <v>15792.01</v>
      </c>
      <c r="E187" s="1175">
        <f>'Wrksht. H, CWIP Desc. EKS'!D186</f>
        <v>0</v>
      </c>
      <c r="F187" s="1320">
        <v>40057</v>
      </c>
      <c r="G187" s="1322" t="s">
        <v>1069</v>
      </c>
      <c r="H187" s="1322">
        <v>0</v>
      </c>
      <c r="I187" s="407">
        <f t="shared" si="6"/>
        <v>0</v>
      </c>
    </row>
    <row r="188" spans="1:11">
      <c r="A188" s="239">
        <f t="shared" si="5"/>
        <v>177</v>
      </c>
      <c r="B188" s="412">
        <f>'Wrksht. H, CWIP Desc. EKS'!B187</f>
        <v>1070004</v>
      </c>
      <c r="C188" s="9" t="str">
        <f>'Wrksht. H, CWIP Desc. EKS'!C187</f>
        <v>012648</v>
      </c>
      <c r="D188" s="1159">
        <v>52581.45</v>
      </c>
      <c r="E188" s="131">
        <f>'Wrksht. H, CWIP Desc. EKS'!D187</f>
        <v>0</v>
      </c>
      <c r="F188" s="1320">
        <v>40057</v>
      </c>
      <c r="G188" s="1320">
        <v>40533</v>
      </c>
      <c r="H188" s="1322">
        <v>0</v>
      </c>
      <c r="I188" s="407">
        <f t="shared" si="6"/>
        <v>0</v>
      </c>
      <c r="J188" s="300"/>
      <c r="K188" s="38"/>
    </row>
    <row r="189" spans="1:11">
      <c r="A189" s="1173">
        <f t="shared" si="5"/>
        <v>178</v>
      </c>
      <c r="B189" s="1174">
        <f>'Wrksht. H, CWIP Desc. EKS'!B188</f>
        <v>1070004</v>
      </c>
      <c r="C189" s="1246" t="str">
        <f>'Wrksht. H, CWIP Desc. EKS'!C188</f>
        <v>012649</v>
      </c>
      <c r="D189" s="1214">
        <v>0.01</v>
      </c>
      <c r="E189" s="1175">
        <f>'Wrksht. H, CWIP Desc. EKS'!D188</f>
        <v>0</v>
      </c>
      <c r="F189" s="1320">
        <v>40057</v>
      </c>
      <c r="G189" s="1322" t="s">
        <v>1069</v>
      </c>
      <c r="H189" s="1322">
        <v>0</v>
      </c>
      <c r="I189" s="407">
        <f t="shared" si="6"/>
        <v>0</v>
      </c>
    </row>
    <row r="190" spans="1:11">
      <c r="A190" s="239">
        <f t="shared" si="5"/>
        <v>179</v>
      </c>
      <c r="B190" s="1174">
        <f>'Wrksht. H, CWIP Desc. EKS'!B189</f>
        <v>1070004</v>
      </c>
      <c r="C190" s="9" t="str">
        <f>'Wrksht. H, CWIP Desc. EKS'!C189</f>
        <v>012760</v>
      </c>
      <c r="D190" s="1213">
        <v>-3434.48</v>
      </c>
      <c r="E190" s="131">
        <f>'Wrksht. H, CWIP Desc. EKS'!D189</f>
        <v>0</v>
      </c>
      <c r="F190" s="1320">
        <v>40057</v>
      </c>
      <c r="G190" s="1322" t="s">
        <v>998</v>
      </c>
      <c r="H190" s="1322">
        <v>0</v>
      </c>
      <c r="I190" s="407">
        <f t="shared" si="6"/>
        <v>0</v>
      </c>
    </row>
    <row r="191" spans="1:11">
      <c r="A191" s="239">
        <f t="shared" si="5"/>
        <v>180</v>
      </c>
      <c r="B191" s="412">
        <f>'Wrksht. H, CWIP Desc. EKS'!B190</f>
        <v>1070004</v>
      </c>
      <c r="C191" s="9" t="str">
        <f>'Wrksht. H, CWIP Desc. EKS'!C190</f>
        <v>012774</v>
      </c>
      <c r="D191" s="1159">
        <v>667690.05000000005</v>
      </c>
      <c r="E191" s="131">
        <f>'Wrksht. H, CWIP Desc. EKS'!D190</f>
        <v>0</v>
      </c>
      <c r="F191" s="1320">
        <v>40057</v>
      </c>
      <c r="G191" s="1320">
        <v>40652</v>
      </c>
      <c r="H191" s="1322">
        <v>0</v>
      </c>
      <c r="I191" s="407">
        <f t="shared" si="6"/>
        <v>0</v>
      </c>
    </row>
    <row r="192" spans="1:11">
      <c r="A192" s="239">
        <f t="shared" si="5"/>
        <v>181</v>
      </c>
      <c r="B192" s="412">
        <f>'Wrksht. H, CWIP Desc. EKS'!B191</f>
        <v>1070004</v>
      </c>
      <c r="C192" s="9" t="str">
        <f>'Wrksht. H, CWIP Desc. EKS'!C191</f>
        <v>012792</v>
      </c>
      <c r="D192" s="1159">
        <v>2226190.6800000002</v>
      </c>
      <c r="E192" s="131">
        <f>'Wrksht. H, CWIP Desc. EKS'!D191</f>
        <v>0</v>
      </c>
      <c r="F192" s="1320">
        <v>40057</v>
      </c>
      <c r="G192" s="1320">
        <v>40135</v>
      </c>
      <c r="H192" s="1322">
        <v>0</v>
      </c>
      <c r="I192" s="407">
        <f t="shared" si="6"/>
        <v>0</v>
      </c>
    </row>
    <row r="193" spans="1:11">
      <c r="A193" s="239">
        <f t="shared" si="5"/>
        <v>182</v>
      </c>
      <c r="B193" s="412">
        <f>'Wrksht. H, CWIP Desc. EKS'!B192</f>
        <v>1070004</v>
      </c>
      <c r="C193" s="9" t="str">
        <f>'Wrksht. H, CWIP Desc. EKS'!C192</f>
        <v>012812</v>
      </c>
      <c r="D193" s="1159">
        <v>1024168</v>
      </c>
      <c r="E193" s="131">
        <f>'Wrksht. H, CWIP Desc. EKS'!D192</f>
        <v>0</v>
      </c>
      <c r="F193" s="1320">
        <v>40057</v>
      </c>
      <c r="G193" s="1320">
        <v>40730</v>
      </c>
      <c r="H193" s="1322">
        <v>0</v>
      </c>
      <c r="I193" s="407">
        <f t="shared" si="6"/>
        <v>0</v>
      </c>
    </row>
    <row r="194" spans="1:11">
      <c r="A194" s="239">
        <f t="shared" si="5"/>
        <v>183</v>
      </c>
      <c r="B194" s="412">
        <f>'Wrksht. H, CWIP Desc. EKS'!B193</f>
        <v>1070004</v>
      </c>
      <c r="C194" s="9" t="str">
        <f>'Wrksht. H, CWIP Desc. EKS'!C193</f>
        <v>012814</v>
      </c>
      <c r="D194" s="1159">
        <v>527.39</v>
      </c>
      <c r="E194" s="131">
        <f>'Wrksht. H, CWIP Desc. EKS'!D193</f>
        <v>0</v>
      </c>
      <c r="F194" s="1320">
        <v>40057</v>
      </c>
      <c r="G194" s="1322" t="s">
        <v>1069</v>
      </c>
      <c r="H194" s="1322">
        <v>0</v>
      </c>
      <c r="I194" s="407">
        <f t="shared" si="6"/>
        <v>0</v>
      </c>
    </row>
    <row r="195" spans="1:11">
      <c r="A195" s="239">
        <f t="shared" si="5"/>
        <v>184</v>
      </c>
      <c r="B195" s="1174">
        <f>'Wrksht. H, CWIP Desc. EKS'!B194</f>
        <v>1070004</v>
      </c>
      <c r="C195" s="9" t="str">
        <f>'Wrksht. H, CWIP Desc. EKS'!C194</f>
        <v>012819</v>
      </c>
      <c r="D195" s="1213">
        <v>-632.86</v>
      </c>
      <c r="E195" s="131">
        <f>'Wrksht. H, CWIP Desc. EKS'!D194</f>
        <v>0</v>
      </c>
      <c r="F195" s="1320">
        <v>40057</v>
      </c>
      <c r="G195" s="1322" t="s">
        <v>998</v>
      </c>
      <c r="H195" s="1322">
        <v>0</v>
      </c>
      <c r="I195" s="407">
        <f t="shared" si="6"/>
        <v>0</v>
      </c>
    </row>
    <row r="196" spans="1:11">
      <c r="A196" s="239">
        <f t="shared" si="5"/>
        <v>185</v>
      </c>
      <c r="B196" s="412">
        <f>'Wrksht. H, CWIP Desc. EKS'!B195</f>
        <v>1070004</v>
      </c>
      <c r="C196" s="9" t="str">
        <f>'Wrksht. H, CWIP Desc. EKS'!C195</f>
        <v>012833</v>
      </c>
      <c r="D196" s="1159">
        <v>6337.73</v>
      </c>
      <c r="E196" s="131">
        <f>'Wrksht. H, CWIP Desc. EKS'!D195</f>
        <v>0</v>
      </c>
      <c r="F196" s="1320">
        <v>40057</v>
      </c>
      <c r="G196" s="1325">
        <v>41211</v>
      </c>
      <c r="H196" s="1322">
        <v>0</v>
      </c>
      <c r="I196" s="407">
        <f t="shared" si="6"/>
        <v>0</v>
      </c>
    </row>
    <row r="197" spans="1:11">
      <c r="A197" s="239">
        <f t="shared" si="5"/>
        <v>186</v>
      </c>
      <c r="B197" s="412">
        <f>'Wrksht. H, CWIP Desc. EKS'!B196</f>
        <v>1070004</v>
      </c>
      <c r="C197" s="9" t="str">
        <f>'Wrksht. H, CWIP Desc. EKS'!C196</f>
        <v>012874</v>
      </c>
      <c r="D197" s="1159">
        <v>37264.269999999997</v>
      </c>
      <c r="E197" s="131">
        <f>'Wrksht. H, CWIP Desc. EKS'!D196</f>
        <v>0</v>
      </c>
      <c r="F197" s="1320">
        <v>40057</v>
      </c>
      <c r="G197" s="1320">
        <v>40350</v>
      </c>
      <c r="H197" s="1322">
        <v>0</v>
      </c>
      <c r="I197" s="407">
        <f t="shared" si="6"/>
        <v>0</v>
      </c>
      <c r="J197" s="300"/>
      <c r="K197" s="38"/>
    </row>
    <row r="198" spans="1:11">
      <c r="A198" s="239">
        <f t="shared" si="5"/>
        <v>187</v>
      </c>
      <c r="B198" s="412">
        <f>'Wrksht. H, CWIP Desc. EKS'!B197</f>
        <v>1070004</v>
      </c>
      <c r="C198" s="9" t="str">
        <f>'Wrksht. H, CWIP Desc. EKS'!C197</f>
        <v>500836</v>
      </c>
      <c r="D198" s="1159">
        <v>1012</v>
      </c>
      <c r="E198" s="131">
        <f>'Wrksht. H, CWIP Desc. EKS'!D197</f>
        <v>0</v>
      </c>
      <c r="F198" s="1320">
        <v>40057</v>
      </c>
      <c r="G198" s="1326">
        <v>39455</v>
      </c>
      <c r="H198" s="1322">
        <v>0</v>
      </c>
      <c r="I198" s="407">
        <f t="shared" si="6"/>
        <v>0</v>
      </c>
    </row>
    <row r="199" spans="1:11">
      <c r="A199" s="239">
        <f t="shared" si="5"/>
        <v>188</v>
      </c>
      <c r="B199" s="412">
        <f>'Wrksht. H, CWIP Desc. EKS'!B198</f>
        <v>1070004</v>
      </c>
      <c r="C199" s="9" t="str">
        <f>'Wrksht. H, CWIP Desc. EKS'!C198</f>
        <v>500897</v>
      </c>
      <c r="D199" s="1159">
        <v>11109.16</v>
      </c>
      <c r="E199" s="131">
        <f>'Wrksht. H, CWIP Desc. EKS'!D198</f>
        <v>0</v>
      </c>
      <c r="F199" s="1320">
        <v>40057</v>
      </c>
      <c r="G199" s="1326">
        <v>39836</v>
      </c>
      <c r="H199" s="1322">
        <v>0</v>
      </c>
      <c r="I199" s="407">
        <f t="shared" si="6"/>
        <v>0</v>
      </c>
    </row>
    <row r="200" spans="1:11">
      <c r="A200" s="239">
        <f t="shared" si="5"/>
        <v>189</v>
      </c>
      <c r="B200" s="412">
        <f>'Wrksht. H, CWIP Desc. EKS'!B199</f>
        <v>1070004</v>
      </c>
      <c r="C200" s="9" t="str">
        <f>'Wrksht. H, CWIP Desc. EKS'!C199</f>
        <v>500917</v>
      </c>
      <c r="D200" s="1159">
        <v>2351.4899999999998</v>
      </c>
      <c r="E200" s="131">
        <f>'Wrksht. H, CWIP Desc. EKS'!D199</f>
        <v>0</v>
      </c>
      <c r="F200" s="1320">
        <v>40057</v>
      </c>
      <c r="G200" s="1320">
        <v>41304</v>
      </c>
      <c r="H200" s="1322">
        <v>0</v>
      </c>
      <c r="I200" s="407">
        <f t="shared" si="6"/>
        <v>0</v>
      </c>
    </row>
    <row r="201" spans="1:11">
      <c r="A201" s="239">
        <f t="shared" si="5"/>
        <v>190</v>
      </c>
      <c r="B201" s="412">
        <f>'Wrksht. H, CWIP Desc. EKS'!B200</f>
        <v>1070004</v>
      </c>
      <c r="C201" s="9" t="str">
        <f>'Wrksht. H, CWIP Desc. EKS'!C200</f>
        <v>500931</v>
      </c>
      <c r="D201" s="1159">
        <v>2597236.67</v>
      </c>
      <c r="E201" s="131">
        <f>'Wrksht. H, CWIP Desc. EKS'!D200</f>
        <v>0</v>
      </c>
      <c r="F201" s="1320">
        <v>40057</v>
      </c>
      <c r="G201" s="1320">
        <v>44678</v>
      </c>
      <c r="H201" s="1322">
        <v>0</v>
      </c>
      <c r="I201" s="407">
        <f>IF((E201-H201)&lt;=1000000,-H201,E201-H201)</f>
        <v>0</v>
      </c>
    </row>
    <row r="202" spans="1:11">
      <c r="A202" s="239">
        <f t="shared" si="5"/>
        <v>191</v>
      </c>
      <c r="B202" s="412">
        <f>'Wrksht. H, CWIP Desc. EKS'!B201</f>
        <v>1070004</v>
      </c>
      <c r="C202" s="9" t="str">
        <f>'Wrksht. H, CWIP Desc. EKS'!C201</f>
        <v>500933</v>
      </c>
      <c r="D202" s="1159">
        <v>2817.75</v>
      </c>
      <c r="E202" s="131">
        <f>'Wrksht. H, CWIP Desc. EKS'!D201</f>
        <v>0</v>
      </c>
      <c r="F202" s="1320">
        <v>40057</v>
      </c>
      <c r="G202" s="1326">
        <v>39822</v>
      </c>
      <c r="H202" s="1322">
        <v>0</v>
      </c>
      <c r="I202" s="407">
        <f t="shared" si="6"/>
        <v>0</v>
      </c>
    </row>
    <row r="203" spans="1:11">
      <c r="A203" s="239">
        <f t="shared" si="5"/>
        <v>192</v>
      </c>
      <c r="B203" s="412">
        <f>'Wrksht. H, CWIP Desc. EKS'!B202</f>
        <v>1070004</v>
      </c>
      <c r="C203" s="9" t="str">
        <f>'Wrksht. H, CWIP Desc. EKS'!C202</f>
        <v>500944</v>
      </c>
      <c r="D203" s="1159">
        <v>390935.95</v>
      </c>
      <c r="E203" s="131">
        <f>'Wrksht. H, CWIP Desc. EKS'!D202</f>
        <v>0</v>
      </c>
      <c r="F203" s="1320">
        <v>40057</v>
      </c>
      <c r="G203" s="1326">
        <v>39822</v>
      </c>
      <c r="H203" s="1322">
        <v>0</v>
      </c>
      <c r="I203" s="407">
        <f t="shared" si="6"/>
        <v>0</v>
      </c>
    </row>
    <row r="204" spans="1:11">
      <c r="A204" s="239">
        <f t="shared" si="5"/>
        <v>193</v>
      </c>
      <c r="B204" s="412">
        <f>'Wrksht. H, CWIP Desc. EKS'!B203</f>
        <v>1070004</v>
      </c>
      <c r="C204" s="9" t="str">
        <f>'Wrksht. H, CWIP Desc. EKS'!C203</f>
        <v>500967</v>
      </c>
      <c r="D204" s="1170">
        <v>0.01</v>
      </c>
      <c r="E204" s="131">
        <f>'Wrksht. H, CWIP Desc. EKS'!D203</f>
        <v>0</v>
      </c>
      <c r="F204" s="1320">
        <v>40057</v>
      </c>
      <c r="G204" s="1327">
        <v>42705</v>
      </c>
      <c r="H204" s="1322">
        <v>0</v>
      </c>
      <c r="I204" s="407">
        <f t="shared" si="6"/>
        <v>0</v>
      </c>
    </row>
    <row r="205" spans="1:11">
      <c r="A205" s="239">
        <f t="shared" si="5"/>
        <v>194</v>
      </c>
      <c r="B205" s="412">
        <f>'Wrksht. H, CWIP Desc. EKS'!B204</f>
        <v>1070004</v>
      </c>
      <c r="C205" s="9" t="str">
        <f>'Wrksht. H, CWIP Desc. EKS'!C204</f>
        <v>500969</v>
      </c>
      <c r="D205" s="1159">
        <v>6870.77</v>
      </c>
      <c r="E205" s="131">
        <f>'Wrksht. H, CWIP Desc. EKS'!D204</f>
        <v>0</v>
      </c>
      <c r="F205" s="1320">
        <v>40057</v>
      </c>
      <c r="G205" s="1326">
        <v>39822</v>
      </c>
      <c r="H205" s="1322">
        <v>0</v>
      </c>
      <c r="I205" s="407">
        <f t="shared" si="6"/>
        <v>0</v>
      </c>
    </row>
    <row r="206" spans="1:11">
      <c r="A206" s="239">
        <f t="shared" si="5"/>
        <v>195</v>
      </c>
      <c r="B206" s="412">
        <f>'Wrksht. H, CWIP Desc. EKS'!B205</f>
        <v>1070004</v>
      </c>
      <c r="C206" s="9" t="str">
        <f>'Wrksht. H, CWIP Desc. EKS'!C205</f>
        <v>500975</v>
      </c>
      <c r="D206" s="1159">
        <v>783.2</v>
      </c>
      <c r="E206" s="131">
        <f>'Wrksht. H, CWIP Desc. EKS'!D205</f>
        <v>0</v>
      </c>
      <c r="F206" s="1320">
        <v>40057</v>
      </c>
      <c r="G206" s="1320">
        <v>41382</v>
      </c>
      <c r="H206" s="1322">
        <v>0</v>
      </c>
      <c r="I206" s="407">
        <f t="shared" si="6"/>
        <v>0</v>
      </c>
    </row>
    <row r="207" spans="1:11">
      <c r="A207" s="239">
        <f t="shared" ref="A207:A216" si="7">A206+1</f>
        <v>196</v>
      </c>
      <c r="B207" s="412">
        <f>'Wrksht. H, CWIP Desc. EKS'!B206</f>
        <v>1070004</v>
      </c>
      <c r="C207" s="9" t="str">
        <f>'Wrksht. H, CWIP Desc. EKS'!C206</f>
        <v>500984</v>
      </c>
      <c r="D207" s="1159">
        <v>4729.99</v>
      </c>
      <c r="E207" s="131">
        <f>'Wrksht. H, CWIP Desc. EKS'!D206</f>
        <v>0</v>
      </c>
      <c r="F207" s="1320">
        <v>40057</v>
      </c>
      <c r="G207" s="1326">
        <v>39822</v>
      </c>
      <c r="H207" s="1322">
        <v>0</v>
      </c>
      <c r="I207" s="407">
        <f t="shared" si="6"/>
        <v>0</v>
      </c>
    </row>
    <row r="208" spans="1:11">
      <c r="A208" s="239">
        <f t="shared" si="7"/>
        <v>197</v>
      </c>
      <c r="B208" s="412">
        <f>'Wrksht. H, CWIP Desc. EKS'!B207</f>
        <v>1070004</v>
      </c>
      <c r="C208" s="9" t="str">
        <f>'Wrksht. H, CWIP Desc. EKS'!C207</f>
        <v>500999</v>
      </c>
      <c r="D208" s="1159">
        <v>6070.22</v>
      </c>
      <c r="E208" s="131">
        <f>'Wrksht. H, CWIP Desc. EKS'!D207</f>
        <v>0</v>
      </c>
      <c r="F208" s="1320">
        <v>40057</v>
      </c>
      <c r="G208" s="1326">
        <v>39822</v>
      </c>
      <c r="H208" s="1322">
        <v>0</v>
      </c>
      <c r="I208" s="407">
        <f t="shared" si="6"/>
        <v>0</v>
      </c>
    </row>
    <row r="209" spans="1:12">
      <c r="A209" s="239">
        <f t="shared" si="7"/>
        <v>198</v>
      </c>
      <c r="B209" s="412">
        <f>'Wrksht. H, CWIP Desc. EKS'!B208</f>
        <v>1070004</v>
      </c>
      <c r="C209" s="9" t="str">
        <f>'Wrksht. H, CWIP Desc. EKS'!C208</f>
        <v>501000</v>
      </c>
      <c r="D209" s="1159">
        <v>6628.13</v>
      </c>
      <c r="E209" s="131">
        <f>'Wrksht. H, CWIP Desc. EKS'!D208</f>
        <v>0</v>
      </c>
      <c r="F209" s="1320">
        <v>40057</v>
      </c>
      <c r="G209" s="1326">
        <v>39822</v>
      </c>
      <c r="H209" s="1322">
        <v>0</v>
      </c>
      <c r="I209" s="407">
        <f t="shared" si="6"/>
        <v>0</v>
      </c>
    </row>
    <row r="210" spans="1:12">
      <c r="A210" s="239">
        <f t="shared" si="7"/>
        <v>199</v>
      </c>
      <c r="B210" s="412">
        <f>'Wrksht. H, CWIP Desc. EKS'!B209</f>
        <v>1070004</v>
      </c>
      <c r="C210" s="9" t="str">
        <f>'Wrksht. H, CWIP Desc. EKS'!C209</f>
        <v>501001</v>
      </c>
      <c r="D210" s="1159">
        <v>9013.61</v>
      </c>
      <c r="E210" s="131">
        <f>'Wrksht. H, CWIP Desc. EKS'!D209</f>
        <v>0</v>
      </c>
      <c r="F210" s="1320">
        <v>40057</v>
      </c>
      <c r="G210" s="1326">
        <v>39822</v>
      </c>
      <c r="H210" s="1322">
        <v>0</v>
      </c>
      <c r="I210" s="407">
        <f t="shared" si="6"/>
        <v>0</v>
      </c>
    </row>
    <row r="211" spans="1:12">
      <c r="A211" s="239">
        <f t="shared" si="7"/>
        <v>200</v>
      </c>
      <c r="B211" s="412">
        <f>'Wrksht. H, CWIP Desc. EKS'!B210</f>
        <v>1070004</v>
      </c>
      <c r="C211" s="9" t="str">
        <f>'Wrksht. H, CWIP Desc. EKS'!C210</f>
        <v>501004</v>
      </c>
      <c r="D211" s="1159">
        <v>61545.49</v>
      </c>
      <c r="E211" s="131">
        <f>'Wrksht. H, CWIP Desc. EKS'!D210</f>
        <v>0</v>
      </c>
      <c r="F211" s="1320">
        <v>40057</v>
      </c>
      <c r="G211" s="1320">
        <v>40134</v>
      </c>
      <c r="H211" s="1322">
        <v>0</v>
      </c>
      <c r="I211" s="407">
        <f t="shared" ref="I211:I217" si="8">IF((E211-H211)&lt;=1000000,-H211,E211-H211)</f>
        <v>0</v>
      </c>
    </row>
    <row r="212" spans="1:12">
      <c r="A212" s="239">
        <f t="shared" si="7"/>
        <v>201</v>
      </c>
      <c r="B212" s="412">
        <f>'Wrksht. H, CWIP Desc. EKS'!B211</f>
        <v>1070004</v>
      </c>
      <c r="C212" s="9" t="str">
        <f>'Wrksht. H, CWIP Desc. EKS'!C211</f>
        <v>501005</v>
      </c>
      <c r="D212" s="1159">
        <v>456.48</v>
      </c>
      <c r="E212" s="131">
        <f>'Wrksht. H, CWIP Desc. EKS'!D211</f>
        <v>0</v>
      </c>
      <c r="F212" s="1320">
        <v>40057</v>
      </c>
      <c r="G212" s="1326">
        <v>39822</v>
      </c>
      <c r="H212" s="1322">
        <v>0</v>
      </c>
      <c r="I212" s="407">
        <f t="shared" si="8"/>
        <v>0</v>
      </c>
    </row>
    <row r="213" spans="1:12">
      <c r="A213" s="239">
        <f t="shared" si="7"/>
        <v>202</v>
      </c>
      <c r="B213" s="412">
        <f>'Wrksht. H, CWIP Desc. EKS'!B212</f>
        <v>1070004</v>
      </c>
      <c r="C213" s="9" t="str">
        <f>'Wrksht. H, CWIP Desc. EKS'!C212</f>
        <v>501007</v>
      </c>
      <c r="D213" s="1159">
        <v>1335.15</v>
      </c>
      <c r="E213" s="131">
        <f>'Wrksht. H, CWIP Desc. EKS'!D212</f>
        <v>0</v>
      </c>
      <c r="F213" s="1320">
        <v>40057</v>
      </c>
      <c r="G213" s="1326">
        <v>39822</v>
      </c>
      <c r="H213" s="1322">
        <v>0</v>
      </c>
      <c r="I213" s="407">
        <f t="shared" si="8"/>
        <v>0</v>
      </c>
    </row>
    <row r="214" spans="1:12">
      <c r="A214" s="239">
        <f t="shared" si="7"/>
        <v>203</v>
      </c>
      <c r="B214" s="412">
        <f>'Wrksht. H, CWIP Desc. EKS'!B213</f>
        <v>1070004</v>
      </c>
      <c r="C214" s="9" t="str">
        <f>'Wrksht. H, CWIP Desc. EKS'!C213</f>
        <v>501013</v>
      </c>
      <c r="D214" s="1159">
        <v>5596.76</v>
      </c>
      <c r="E214" s="131">
        <f>'Wrksht. H, CWIP Desc. EKS'!D213</f>
        <v>0</v>
      </c>
      <c r="F214" s="1320">
        <v>40057</v>
      </c>
      <c r="G214" s="1320">
        <v>40003</v>
      </c>
      <c r="H214" s="1322">
        <v>0</v>
      </c>
      <c r="I214" s="407">
        <f t="shared" si="8"/>
        <v>0</v>
      </c>
    </row>
    <row r="215" spans="1:12">
      <c r="A215" s="239">
        <f t="shared" si="7"/>
        <v>204</v>
      </c>
      <c r="B215" s="412">
        <f>'Wrksht. H, CWIP Desc. EKS'!B214</f>
        <v>1070004</v>
      </c>
      <c r="C215" s="9" t="str">
        <f>'Wrksht. H, CWIP Desc. EKS'!C214</f>
        <v>501033</v>
      </c>
      <c r="D215" s="1159">
        <v>50527.44</v>
      </c>
      <c r="E215" s="131">
        <f>'Wrksht. H, CWIP Desc. EKS'!D214</f>
        <v>0</v>
      </c>
      <c r="F215" s="1320">
        <v>40057</v>
      </c>
      <c r="G215" s="1320">
        <v>40134</v>
      </c>
      <c r="H215" s="1322">
        <v>0</v>
      </c>
      <c r="I215" s="407">
        <f t="shared" si="8"/>
        <v>0</v>
      </c>
    </row>
    <row r="216" spans="1:12">
      <c r="A216" s="239">
        <f t="shared" si="7"/>
        <v>205</v>
      </c>
      <c r="B216" s="412">
        <f>'Wrksht. H, CWIP Desc. EKS'!B215</f>
        <v>1070004</v>
      </c>
      <c r="C216" s="9" t="str">
        <f>'Wrksht. H, CWIP Desc. EKS'!C215</f>
        <v>501034</v>
      </c>
      <c r="D216" s="1159">
        <v>162491.53</v>
      </c>
      <c r="E216" s="131">
        <f>'Wrksht. H, CWIP Desc. EKS'!D215</f>
        <v>0</v>
      </c>
      <c r="F216" s="1320">
        <v>40057</v>
      </c>
      <c r="G216" s="1320">
        <v>40052</v>
      </c>
      <c r="H216" s="1322">
        <v>0</v>
      </c>
      <c r="I216" s="407">
        <f t="shared" si="8"/>
        <v>0</v>
      </c>
    </row>
    <row r="217" spans="1:12">
      <c r="A217" s="239">
        <f>A216+1</f>
        <v>206</v>
      </c>
      <c r="B217" s="412">
        <f>'Wrksht. H, CWIP Desc. EKS'!B216</f>
        <v>1070004</v>
      </c>
      <c r="C217" s="9" t="str">
        <f>'Wrksht. H, CWIP Desc. EKS'!C216</f>
        <v>902001</v>
      </c>
      <c r="D217" s="1159">
        <v>5702.52</v>
      </c>
      <c r="E217" s="131">
        <f>'Wrksht. H, CWIP Desc. EKS'!D216</f>
        <v>6012.93</v>
      </c>
      <c r="F217" s="1320">
        <v>40057</v>
      </c>
      <c r="G217" s="1322">
        <v>0</v>
      </c>
      <c r="H217" s="1322">
        <v>0</v>
      </c>
      <c r="I217" s="407">
        <f t="shared" si="8"/>
        <v>0</v>
      </c>
    </row>
    <row r="218" spans="1:12">
      <c r="A218" s="239">
        <f>A217+1</f>
        <v>207</v>
      </c>
      <c r="B218" s="412">
        <f>'Wrksht. H, CWIP Desc. EKS'!B217</f>
        <v>1070002</v>
      </c>
      <c r="C218" s="9" t="str">
        <f>'Wrksht. H, CWIP Desc. EKS'!C217</f>
        <v>JEC01802402</v>
      </c>
      <c r="D218" s="1159">
        <v>4393.8</v>
      </c>
      <c r="E218" s="1175">
        <f>'Wrksht. H, CWIP Desc. EKS'!D217</f>
        <v>0</v>
      </c>
      <c r="F218" s="1320">
        <v>40330</v>
      </c>
      <c r="G218" s="1320">
        <v>40543</v>
      </c>
      <c r="H218" s="1322">
        <v>0</v>
      </c>
      <c r="I218" s="407">
        <f>IF((E218-H218)&lt;=1000000,-H218,E218-H218)</f>
        <v>0</v>
      </c>
      <c r="J218" s="300"/>
      <c r="K218" s="38"/>
      <c r="L218" s="316"/>
    </row>
    <row r="219" spans="1:12">
      <c r="A219" s="317">
        <f t="shared" ref="A219:A227" si="9">A218+1</f>
        <v>208</v>
      </c>
      <c r="B219" s="412" t="str">
        <f>'Wrksht. H, CWIP Desc. EKS'!B218</f>
        <v>1070002</v>
      </c>
      <c r="C219" s="9" t="str">
        <f>'Wrksht. H, CWIP Desc. EKS'!C218</f>
        <v>JEC01805401</v>
      </c>
      <c r="D219" s="1159">
        <v>5380518.1600000001</v>
      </c>
      <c r="E219" s="131">
        <f>'Wrksht. H, CWIP Desc. EKS'!D218</f>
        <v>0</v>
      </c>
      <c r="F219" s="1320">
        <v>40695</v>
      </c>
      <c r="G219" s="1320">
        <v>40663</v>
      </c>
      <c r="H219" s="1322">
        <v>0</v>
      </c>
      <c r="I219" s="407">
        <f t="shared" ref="I219:I224" si="10">IF((E219-H219)&lt;=1000000,-H219,E219-H219)</f>
        <v>0</v>
      </c>
    </row>
    <row r="220" spans="1:12">
      <c r="A220" s="239">
        <f t="shared" si="9"/>
        <v>209</v>
      </c>
      <c r="B220" s="412" t="str">
        <f>'Wrksht. H, CWIP Desc. EKS'!B219</f>
        <v>1070002</v>
      </c>
      <c r="C220" s="9" t="str">
        <f>'Wrksht. H, CWIP Desc. EKS'!C219</f>
        <v>JEC01806001</v>
      </c>
      <c r="D220" s="1159">
        <v>1375694.4</v>
      </c>
      <c r="E220" s="131">
        <f>'Wrksht. H, CWIP Desc. EKS'!D219</f>
        <v>0</v>
      </c>
      <c r="F220" s="1158">
        <v>40695</v>
      </c>
      <c r="G220" s="1320">
        <v>40718</v>
      </c>
      <c r="H220" s="1159">
        <v>0</v>
      </c>
      <c r="I220" s="407">
        <f t="shared" si="10"/>
        <v>0</v>
      </c>
    </row>
    <row r="221" spans="1:12">
      <c r="A221" s="239">
        <f t="shared" si="9"/>
        <v>210</v>
      </c>
      <c r="B221" s="412" t="str">
        <f>'Wrksht. H, CWIP Desc. EKS'!B220</f>
        <v>1070002</v>
      </c>
      <c r="C221" s="9" t="str">
        <f>'Wrksht. H, CWIP Desc. EKS'!C220</f>
        <v>7003193</v>
      </c>
      <c r="D221" s="1159">
        <v>1654771.67</v>
      </c>
      <c r="E221" s="131">
        <f>'Wrksht. H, CWIP Desc. EKS'!D220</f>
        <v>0</v>
      </c>
      <c r="F221" s="1158">
        <v>40695</v>
      </c>
      <c r="G221" s="1320">
        <v>40906</v>
      </c>
      <c r="H221" s="1159">
        <v>0</v>
      </c>
      <c r="I221" s="407">
        <f t="shared" si="10"/>
        <v>0</v>
      </c>
    </row>
    <row r="222" spans="1:12">
      <c r="A222" s="239">
        <f t="shared" si="9"/>
        <v>211</v>
      </c>
      <c r="B222" s="412" t="str">
        <f>'Wrksht. H, CWIP Desc. EKS'!B221</f>
        <v>1070002</v>
      </c>
      <c r="C222" s="9" t="str">
        <f>'Wrksht. H, CWIP Desc. EKS'!C221</f>
        <v>7100006</v>
      </c>
      <c r="D222" s="1159">
        <v>0</v>
      </c>
      <c r="E222" s="131">
        <f>'Wrksht. H, CWIP Desc. EKS'!D221</f>
        <v>0</v>
      </c>
      <c r="F222" s="1158">
        <v>40695</v>
      </c>
      <c r="G222" s="1322">
        <v>0</v>
      </c>
      <c r="H222" s="1159">
        <v>0</v>
      </c>
      <c r="I222" s="407">
        <f t="shared" si="10"/>
        <v>0</v>
      </c>
    </row>
    <row r="223" spans="1:12">
      <c r="A223" s="239">
        <f t="shared" si="9"/>
        <v>212</v>
      </c>
      <c r="B223" s="412" t="str">
        <f>'Wrksht. H, CWIP Desc. EKS'!B222</f>
        <v>1070002</v>
      </c>
      <c r="C223" s="9" t="str">
        <f>'Wrksht. H, CWIP Desc. EKS'!C222</f>
        <v>7200006</v>
      </c>
      <c r="D223" s="1159">
        <v>0</v>
      </c>
      <c r="E223" s="131">
        <f>'Wrksht. H, CWIP Desc. EKS'!D222</f>
        <v>0</v>
      </c>
      <c r="F223" s="1158">
        <v>40695</v>
      </c>
      <c r="G223" s="1322">
        <v>0</v>
      </c>
      <c r="H223" s="1159">
        <v>0</v>
      </c>
      <c r="I223" s="407">
        <f t="shared" si="10"/>
        <v>0</v>
      </c>
    </row>
    <row r="224" spans="1:12">
      <c r="A224" s="239">
        <f t="shared" si="9"/>
        <v>213</v>
      </c>
      <c r="B224" s="412">
        <f>'Wrksht. H, CWIP Desc. EKS'!B223</f>
        <v>1070004</v>
      </c>
      <c r="C224" s="9" t="str">
        <f>'Wrksht. H, CWIP Desc. EKS'!C223</f>
        <v>012512</v>
      </c>
      <c r="D224" s="1159">
        <v>66172.62</v>
      </c>
      <c r="E224" s="131">
        <f>'Wrksht. H, CWIP Desc. EKS'!D223</f>
        <v>0</v>
      </c>
      <c r="F224" s="1158">
        <v>40695</v>
      </c>
      <c r="G224" s="1320">
        <v>41795</v>
      </c>
      <c r="H224" s="1159">
        <v>0</v>
      </c>
      <c r="I224" s="407">
        <f t="shared" si="10"/>
        <v>0</v>
      </c>
    </row>
    <row r="225" spans="1:9">
      <c r="A225" s="317">
        <f t="shared" si="9"/>
        <v>214</v>
      </c>
      <c r="B225" s="412">
        <f>'Wrksht. H, CWIP Desc. EKS'!B224</f>
        <v>1070004</v>
      </c>
      <c r="C225" s="9" t="str">
        <f>'Wrksht. H, CWIP Desc. EKS'!C224</f>
        <v>013004</v>
      </c>
      <c r="D225" s="1159">
        <v>1494760.15</v>
      </c>
      <c r="E225" s="131">
        <f>'Wrksht. H, CWIP Desc. EKS'!D224</f>
        <v>0</v>
      </c>
      <c r="F225" s="1158">
        <v>40695</v>
      </c>
      <c r="G225" s="1320">
        <v>40560</v>
      </c>
      <c r="H225" s="1159">
        <v>0</v>
      </c>
      <c r="I225" s="407">
        <f t="shared" ref="I225:I242" si="11">IF((E225-H225)&lt;=1000000,-H225,E225-H225)</f>
        <v>0</v>
      </c>
    </row>
    <row r="226" spans="1:9">
      <c r="A226" s="317">
        <f t="shared" si="9"/>
        <v>215</v>
      </c>
      <c r="B226" s="412">
        <f>'Wrksht. H, CWIP Desc. EKS'!B225</f>
        <v>1070002</v>
      </c>
      <c r="C226" s="9" t="str">
        <f>'Wrksht. H, CWIP Desc. EKS'!C225</f>
        <v>7203239</v>
      </c>
      <c r="D226" s="1159">
        <v>1347770.84</v>
      </c>
      <c r="E226" s="131">
        <f>'Wrksht. H, CWIP Desc. EKS'!D225</f>
        <v>0</v>
      </c>
      <c r="F226" s="1158">
        <v>41061</v>
      </c>
      <c r="G226" s="1320">
        <v>40906</v>
      </c>
      <c r="H226" s="1159">
        <v>0</v>
      </c>
      <c r="I226" s="407">
        <f t="shared" si="11"/>
        <v>0</v>
      </c>
    </row>
    <row r="227" spans="1:9">
      <c r="A227" s="317">
        <f t="shared" si="9"/>
        <v>216</v>
      </c>
      <c r="B227" s="412" t="str">
        <f>'Wrksht. H, CWIP Desc. EKS'!B226</f>
        <v>1070002</v>
      </c>
      <c r="C227" s="9" t="str">
        <f>'Wrksht. H, CWIP Desc. EKS'!C226</f>
        <v>JEC011005901</v>
      </c>
      <c r="D227" s="1159">
        <v>1260.58</v>
      </c>
      <c r="E227" s="131">
        <f>'Wrksht. H, CWIP Desc. EKS'!D226</f>
        <v>0</v>
      </c>
      <c r="F227" s="1158">
        <v>41061</v>
      </c>
      <c r="G227" s="1320">
        <v>41996</v>
      </c>
      <c r="H227" s="1159">
        <v>0</v>
      </c>
      <c r="I227" s="407">
        <f t="shared" si="11"/>
        <v>0</v>
      </c>
    </row>
    <row r="228" spans="1:9">
      <c r="A228" s="239">
        <f t="shared" ref="A228:A291" si="12">A227+1</f>
        <v>217</v>
      </c>
      <c r="B228" s="412" t="str">
        <f>'Wrksht. H, CWIP Desc. EKS'!B227</f>
        <v>1070002</v>
      </c>
      <c r="C228" s="9" t="str">
        <f>'Wrksht. H, CWIP Desc. EKS'!C227</f>
        <v>JEC011105801</v>
      </c>
      <c r="D228" s="1159">
        <v>1241394.44</v>
      </c>
      <c r="E228" s="131">
        <f>'Wrksht. H, CWIP Desc. EKS'!D227</f>
        <v>0</v>
      </c>
      <c r="F228" s="1158">
        <v>41061</v>
      </c>
      <c r="G228" s="1320">
        <v>41187</v>
      </c>
      <c r="H228" s="1159">
        <v>0</v>
      </c>
      <c r="I228" s="407">
        <f t="shared" si="11"/>
        <v>0</v>
      </c>
    </row>
    <row r="229" spans="1:9">
      <c r="A229" s="239">
        <f t="shared" si="12"/>
        <v>218</v>
      </c>
      <c r="B229" s="412" t="str">
        <f>'Wrksht. H, CWIP Desc. EKS'!B228</f>
        <v>1070004</v>
      </c>
      <c r="C229" s="9" t="str">
        <f>'Wrksht. H, CWIP Desc. EKS'!C228</f>
        <v>012834</v>
      </c>
      <c r="D229" s="1159">
        <v>-20337.89</v>
      </c>
      <c r="E229" s="131">
        <f>'Wrksht. H, CWIP Desc. EKS'!D228</f>
        <v>0</v>
      </c>
      <c r="F229" s="1158">
        <v>41061</v>
      </c>
      <c r="G229" s="1320">
        <v>41520</v>
      </c>
      <c r="H229" s="1159">
        <v>0</v>
      </c>
      <c r="I229" s="407">
        <f t="shared" si="11"/>
        <v>0</v>
      </c>
    </row>
    <row r="230" spans="1:9">
      <c r="A230" s="239">
        <f t="shared" si="12"/>
        <v>219</v>
      </c>
      <c r="B230" s="412" t="str">
        <f>'Wrksht. H, CWIP Desc. EKS'!B229</f>
        <v>1070004</v>
      </c>
      <c r="C230" s="9" t="str">
        <f>'Wrksht. H, CWIP Desc. EKS'!C229</f>
        <v>012961</v>
      </c>
      <c r="D230" s="1159">
        <v>33556.33</v>
      </c>
      <c r="E230" s="131">
        <f>'Wrksht. H, CWIP Desc. EKS'!D229</f>
        <v>0</v>
      </c>
      <c r="F230" s="1158">
        <v>41061</v>
      </c>
      <c r="G230" s="1320">
        <v>41768</v>
      </c>
      <c r="H230" s="1159">
        <v>0</v>
      </c>
      <c r="I230" s="407">
        <f t="shared" si="11"/>
        <v>0</v>
      </c>
    </row>
    <row r="231" spans="1:9">
      <c r="A231" s="239">
        <f t="shared" si="12"/>
        <v>220</v>
      </c>
      <c r="B231" s="412" t="str">
        <f>'Wrksht. H, CWIP Desc. EKS'!B230</f>
        <v>1070004</v>
      </c>
      <c r="C231" s="9" t="str">
        <f>'Wrksht. H, CWIP Desc. EKS'!C230</f>
        <v>013017</v>
      </c>
      <c r="D231" s="1159">
        <v>1370122.55</v>
      </c>
      <c r="E231" s="131">
        <f>'Wrksht. H, CWIP Desc. EKS'!D230</f>
        <v>0</v>
      </c>
      <c r="F231" s="1158">
        <v>41061</v>
      </c>
      <c r="G231" s="1320">
        <v>41018</v>
      </c>
      <c r="H231" s="1159">
        <v>0</v>
      </c>
      <c r="I231" s="407">
        <f t="shared" si="11"/>
        <v>0</v>
      </c>
    </row>
    <row r="232" spans="1:9">
      <c r="A232" s="239">
        <f t="shared" si="12"/>
        <v>221</v>
      </c>
      <c r="B232" s="412" t="str">
        <f>'Wrksht. H, CWIP Desc. EKS'!B231</f>
        <v>1070004</v>
      </c>
      <c r="C232" s="9" t="str">
        <f>'Wrksht. H, CWIP Desc. EKS'!C231</f>
        <v>013380</v>
      </c>
      <c r="D232" s="1159">
        <v>-12373.26</v>
      </c>
      <c r="E232" s="131">
        <f>'Wrksht. H, CWIP Desc. EKS'!D231</f>
        <v>0</v>
      </c>
      <c r="F232" s="1158">
        <v>41061</v>
      </c>
      <c r="G232" s="1320">
        <v>41394</v>
      </c>
      <c r="H232" s="1159">
        <v>0</v>
      </c>
      <c r="I232" s="407">
        <f t="shared" si="11"/>
        <v>0</v>
      </c>
    </row>
    <row r="233" spans="1:9">
      <c r="A233" s="239">
        <f t="shared" si="12"/>
        <v>222</v>
      </c>
      <c r="B233" s="412" t="str">
        <f>'Wrksht. H, CWIP Desc. EKS'!B232</f>
        <v>1070004</v>
      </c>
      <c r="C233" s="9" t="str">
        <f>'Wrksht. H, CWIP Desc. EKS'!C232</f>
        <v>013833</v>
      </c>
      <c r="D233" s="1159">
        <v>129564.05</v>
      </c>
      <c r="E233" s="131">
        <f>'Wrksht. H, CWIP Desc. EKS'!D232</f>
        <v>0</v>
      </c>
      <c r="F233" s="1158">
        <v>41061</v>
      </c>
      <c r="G233" s="1320">
        <v>41864</v>
      </c>
      <c r="H233" s="1159">
        <v>0</v>
      </c>
      <c r="I233" s="407">
        <f>IF((E233-H233)&lt;=1000000,-H233,E233-H233)</f>
        <v>0</v>
      </c>
    </row>
    <row r="234" spans="1:9">
      <c r="A234" s="239">
        <f t="shared" si="12"/>
        <v>223</v>
      </c>
      <c r="B234" s="412" t="str">
        <f>'Wrksht. H, CWIP Desc. EKS'!B233</f>
        <v>1070004</v>
      </c>
      <c r="C234" s="9" t="str">
        <f>'Wrksht. H, CWIP Desc. EKS'!C233</f>
        <v>013540</v>
      </c>
      <c r="D234" s="1159">
        <v>2318501.3199999998</v>
      </c>
      <c r="E234" s="131">
        <f>'Wrksht. H, CWIP Desc. EKS'!D233</f>
        <v>0</v>
      </c>
      <c r="F234" s="1158">
        <v>41426</v>
      </c>
      <c r="G234" s="1320">
        <v>42109</v>
      </c>
      <c r="H234" s="1159">
        <v>0</v>
      </c>
      <c r="I234" s="407">
        <f t="shared" si="11"/>
        <v>0</v>
      </c>
    </row>
    <row r="235" spans="1:9">
      <c r="A235" s="239">
        <f t="shared" si="12"/>
        <v>224</v>
      </c>
      <c r="B235" s="412" t="str">
        <f>'Wrksht. H, CWIP Desc. EKS'!B234</f>
        <v>1070004</v>
      </c>
      <c r="C235" s="9" t="str">
        <f>'Wrksht. H, CWIP Desc. EKS'!C234</f>
        <v>013894</v>
      </c>
      <c r="D235" s="1159">
        <v>3073920.53</v>
      </c>
      <c r="E235" s="131">
        <f>'Wrksht. H, CWIP Desc. EKS'!D234</f>
        <v>0</v>
      </c>
      <c r="F235" s="1158">
        <v>41426</v>
      </c>
      <c r="G235" s="1320">
        <v>42461</v>
      </c>
      <c r="H235" s="1159">
        <v>0</v>
      </c>
      <c r="I235" s="407">
        <f t="shared" si="11"/>
        <v>0</v>
      </c>
    </row>
    <row r="236" spans="1:9">
      <c r="A236" s="239">
        <f t="shared" si="12"/>
        <v>225</v>
      </c>
      <c r="B236" s="412" t="str">
        <f>'Wrksht. H, CWIP Desc. EKS'!B235</f>
        <v>1070004</v>
      </c>
      <c r="C236" s="9" t="str">
        <f>'Wrksht. H, CWIP Desc. EKS'!C235</f>
        <v>013948</v>
      </c>
      <c r="D236" s="1159">
        <v>14987.27</v>
      </c>
      <c r="E236" s="131">
        <f>'Wrksht. H, CWIP Desc. EKS'!D235</f>
        <v>0</v>
      </c>
      <c r="F236" s="1158">
        <v>41426</v>
      </c>
      <c r="G236" s="1320">
        <v>41589</v>
      </c>
      <c r="H236" s="1159">
        <v>0</v>
      </c>
      <c r="I236" s="407">
        <f t="shared" si="11"/>
        <v>0</v>
      </c>
    </row>
    <row r="237" spans="1:9">
      <c r="A237" s="239">
        <f t="shared" si="12"/>
        <v>226</v>
      </c>
      <c r="B237" s="412" t="str">
        <f>'Wrksht. H, CWIP Desc. EKS'!B236</f>
        <v>1070004</v>
      </c>
      <c r="C237" s="9" t="str">
        <f>'Wrksht. H, CWIP Desc. EKS'!C236</f>
        <v>013539</v>
      </c>
      <c r="D237" s="1159">
        <v>-26815.09</v>
      </c>
      <c r="E237" s="131">
        <f>'Wrksht. H, CWIP Desc. EKS'!D236</f>
        <v>0</v>
      </c>
      <c r="F237" s="1158">
        <v>41426</v>
      </c>
      <c r="G237" s="1320">
        <v>41753</v>
      </c>
      <c r="H237" s="1159">
        <v>0</v>
      </c>
      <c r="I237" s="407">
        <f t="shared" si="11"/>
        <v>0</v>
      </c>
    </row>
    <row r="238" spans="1:9">
      <c r="A238" s="239">
        <f t="shared" si="12"/>
        <v>227</v>
      </c>
      <c r="B238" s="412" t="str">
        <f>'Wrksht. H, CWIP Desc. EKS'!B237</f>
        <v>1070004</v>
      </c>
      <c r="C238" s="9" t="str">
        <f>'Wrksht. H, CWIP Desc. EKS'!C237</f>
        <v>012958</v>
      </c>
      <c r="D238" s="1159">
        <v>29089.91</v>
      </c>
      <c r="E238" s="131">
        <f>'Wrksht. H, CWIP Desc. EKS'!D237</f>
        <v>0</v>
      </c>
      <c r="F238" s="1158">
        <v>41426</v>
      </c>
      <c r="G238" s="1320">
        <v>41891</v>
      </c>
      <c r="H238" s="1159">
        <v>0</v>
      </c>
      <c r="I238" s="407">
        <f t="shared" si="11"/>
        <v>0</v>
      </c>
    </row>
    <row r="239" spans="1:9">
      <c r="A239" s="239">
        <f t="shared" si="12"/>
        <v>228</v>
      </c>
      <c r="B239" s="412" t="str">
        <f>'Wrksht. H, CWIP Desc. EKS'!B238</f>
        <v>1070004</v>
      </c>
      <c r="C239" s="9" t="str">
        <f>'Wrksht. H, CWIP Desc. EKS'!C238</f>
        <v>012514</v>
      </c>
      <c r="D239" s="1159">
        <v>4087837.38</v>
      </c>
      <c r="E239" s="131">
        <f>'Wrksht. H, CWIP Desc. EKS'!D238</f>
        <v>0</v>
      </c>
      <c r="F239" s="1158">
        <v>41426</v>
      </c>
      <c r="G239" s="1320">
        <v>42192</v>
      </c>
      <c r="H239" s="1159">
        <v>0</v>
      </c>
      <c r="I239" s="407">
        <f t="shared" si="11"/>
        <v>0</v>
      </c>
    </row>
    <row r="240" spans="1:9">
      <c r="A240" s="239">
        <f t="shared" si="12"/>
        <v>229</v>
      </c>
      <c r="B240" s="412" t="str">
        <f>'Wrksht. H, CWIP Desc. EKS'!B239</f>
        <v>1070004</v>
      </c>
      <c r="C240" s="9" t="str">
        <f>'Wrksht. H, CWIP Desc. EKS'!C239</f>
        <v>014176</v>
      </c>
      <c r="D240" s="1159">
        <v>0</v>
      </c>
      <c r="E240" s="131">
        <f>'Wrksht. H, CWIP Desc. EKS'!D239</f>
        <v>0</v>
      </c>
      <c r="F240" s="1158">
        <v>41426</v>
      </c>
      <c r="G240" s="1320">
        <v>41788</v>
      </c>
      <c r="H240" s="1159">
        <v>0</v>
      </c>
      <c r="I240" s="407">
        <f t="shared" si="11"/>
        <v>0</v>
      </c>
    </row>
    <row r="241" spans="1:9">
      <c r="A241" s="239">
        <f t="shared" si="12"/>
        <v>230</v>
      </c>
      <c r="B241" s="412" t="str">
        <f>'Wrksht. H, CWIP Desc. EKS'!B240</f>
        <v>1070004</v>
      </c>
      <c r="C241" s="9" t="str">
        <f>'Wrksht. H, CWIP Desc. EKS'!C240</f>
        <v>013830</v>
      </c>
      <c r="D241" s="1159">
        <v>5250721.45</v>
      </c>
      <c r="E241" s="131">
        <f>'Wrksht. H, CWIP Desc. EKS'!D240</f>
        <v>0</v>
      </c>
      <c r="F241" s="1158">
        <v>41426</v>
      </c>
      <c r="G241" s="1320">
        <v>43445</v>
      </c>
      <c r="H241" s="1159">
        <v>0</v>
      </c>
      <c r="I241" s="407">
        <f>IF((E241-H241)&lt;=1000000,-H241,E241-H241)</f>
        <v>0</v>
      </c>
    </row>
    <row r="242" spans="1:9">
      <c r="A242" s="239">
        <f t="shared" si="12"/>
        <v>231</v>
      </c>
      <c r="B242" s="412" t="str">
        <f>'Wrksht. H, CWIP Desc. EKS'!B241</f>
        <v>1070004</v>
      </c>
      <c r="C242" s="9" t="str">
        <f>'Wrksht. H, CWIP Desc. EKS'!C241</f>
        <v>014117</v>
      </c>
      <c r="D242" s="1159">
        <v>-107734.46</v>
      </c>
      <c r="E242" s="131">
        <f>'Wrksht. H, CWIP Desc. EKS'!D241</f>
        <v>0</v>
      </c>
      <c r="F242" s="1158">
        <v>41426</v>
      </c>
      <c r="G242" s="1320">
        <v>41544</v>
      </c>
      <c r="H242" s="1159">
        <v>0</v>
      </c>
      <c r="I242" s="407">
        <f t="shared" si="11"/>
        <v>0</v>
      </c>
    </row>
    <row r="243" spans="1:9">
      <c r="A243" s="239">
        <f t="shared" si="12"/>
        <v>232</v>
      </c>
      <c r="B243" s="412">
        <f>'Wrksht. H, CWIP Desc. EKS'!B242</f>
        <v>10100</v>
      </c>
      <c r="C243" s="9" t="str">
        <f>'Wrksht. H, CWIP Desc. EKS'!C242</f>
        <v>05701 JEC011205201</v>
      </c>
      <c r="D243" s="1159">
        <v>1973724.35</v>
      </c>
      <c r="E243" s="131">
        <f>'Wrksht. H, CWIP Desc. EKS'!D242</f>
        <v>0</v>
      </c>
      <c r="F243" s="1158">
        <v>41791</v>
      </c>
      <c r="G243" s="1320">
        <v>41793</v>
      </c>
      <c r="H243" s="1159">
        <v>0</v>
      </c>
      <c r="I243" s="407">
        <f>IF((E243-H243)&lt;=1000000,-H243,E243-H243)</f>
        <v>0</v>
      </c>
    </row>
    <row r="244" spans="1:9">
      <c r="A244" s="239">
        <f t="shared" si="12"/>
        <v>233</v>
      </c>
      <c r="B244" s="412">
        <f>'Wrksht. H, CWIP Desc. EKS'!B243</f>
        <v>10100</v>
      </c>
      <c r="C244" s="9" t="str">
        <f>'Wrksht. H, CWIP Desc. EKS'!C243</f>
        <v>05701 JEC011300301</v>
      </c>
      <c r="D244" s="1159">
        <v>4305051.1500000004</v>
      </c>
      <c r="E244" s="131">
        <f>'Wrksht. H, CWIP Desc. EKS'!D243</f>
        <v>0</v>
      </c>
      <c r="F244" s="1158">
        <v>41791</v>
      </c>
      <c r="G244" s="1320">
        <v>41845</v>
      </c>
      <c r="H244" s="1159">
        <v>0</v>
      </c>
      <c r="I244" s="407">
        <f>IF((E244-H244)&lt;=1000000,-H244,E244-H244)</f>
        <v>0</v>
      </c>
    </row>
    <row r="245" spans="1:9">
      <c r="A245" s="239">
        <f t="shared" si="12"/>
        <v>234</v>
      </c>
      <c r="B245" s="412">
        <f>'Wrksht. H, CWIP Desc. EKS'!B244</f>
        <v>10100</v>
      </c>
      <c r="C245" s="9" t="str">
        <f>'Wrksht. H, CWIP Desc. EKS'!C244</f>
        <v>05701 JEC011410201</v>
      </c>
      <c r="D245" s="1159">
        <v>1290514.1000000001</v>
      </c>
      <c r="E245" s="131">
        <f>'Wrksht. H, CWIP Desc. EKS'!D244</f>
        <v>0</v>
      </c>
      <c r="F245" s="1158">
        <v>41791</v>
      </c>
      <c r="G245" s="1320">
        <v>41994</v>
      </c>
      <c r="H245" s="1159">
        <v>0</v>
      </c>
      <c r="I245" s="407">
        <f>IF((E245-H245)&lt;=1000000,-H245,E245-H245)</f>
        <v>0</v>
      </c>
    </row>
    <row r="246" spans="1:9">
      <c r="A246" s="239">
        <f t="shared" si="12"/>
        <v>235</v>
      </c>
      <c r="B246" s="412">
        <f>'Wrksht. H, CWIP Desc. EKS'!B245</f>
        <v>10100</v>
      </c>
      <c r="C246" s="9" t="str">
        <f>'Wrksht. H, CWIP Desc. EKS'!C245</f>
        <v>05984 7003273</v>
      </c>
      <c r="D246" s="1159">
        <v>3163401.66</v>
      </c>
      <c r="E246" s="131">
        <f>'Wrksht. H, CWIP Desc. EKS'!D245</f>
        <v>0</v>
      </c>
      <c r="F246" s="1158">
        <v>41791</v>
      </c>
      <c r="G246" s="1320">
        <v>42095</v>
      </c>
      <c r="H246" s="1159">
        <v>0</v>
      </c>
      <c r="I246" s="407">
        <f>IF((E246-H246)&lt;=1000000,-H246,E246-H246)</f>
        <v>0</v>
      </c>
    </row>
    <row r="247" spans="1:9">
      <c r="A247" s="239">
        <f t="shared" si="12"/>
        <v>236</v>
      </c>
      <c r="B247" s="412">
        <f>'Wrksht. H, CWIP Desc. EKS'!B246</f>
        <v>10100</v>
      </c>
      <c r="C247" s="9" t="str">
        <f>'Wrksht. H, CWIP Desc. EKS'!C246</f>
        <v>05984 7103267</v>
      </c>
      <c r="D247" s="1159">
        <v>6298331.9500000002</v>
      </c>
      <c r="E247" s="131">
        <f>'Wrksht. H, CWIP Desc. EKS'!D246</f>
        <v>0</v>
      </c>
      <c r="F247" s="1158">
        <v>41791</v>
      </c>
      <c r="G247" s="1320">
        <v>41727</v>
      </c>
      <c r="H247" s="1159">
        <v>0</v>
      </c>
      <c r="I247" s="407">
        <f>IF((E247-H247)&lt;=1000000,-H247,E247-H247)</f>
        <v>0</v>
      </c>
    </row>
    <row r="248" spans="1:9">
      <c r="A248" s="757">
        <f t="shared" si="12"/>
        <v>237</v>
      </c>
      <c r="B248" s="1133">
        <f>'Wrksht. H, CWIP Desc. EKS'!B247</f>
        <v>10100</v>
      </c>
      <c r="C248" s="1146" t="str">
        <f>'Wrksht. H, CWIP Desc. EKS'!C247</f>
        <v>05984 7003214</v>
      </c>
      <c r="D248" s="1160">
        <v>1057734.23</v>
      </c>
      <c r="E248" s="1126">
        <f>'Wrksht. H, CWIP Desc. EKS'!D247</f>
        <v>0</v>
      </c>
      <c r="F248" s="1161">
        <v>42156</v>
      </c>
      <c r="G248" s="1316">
        <v>42069</v>
      </c>
      <c r="H248" s="1160">
        <v>0</v>
      </c>
      <c r="I248" s="1127">
        <f t="shared" ref="I248:I256" si="13">IF((E248-H248)&lt;=1000000,-H248,E248-H248)</f>
        <v>0</v>
      </c>
    </row>
    <row r="249" spans="1:9">
      <c r="A249" s="619">
        <f t="shared" si="12"/>
        <v>238</v>
      </c>
      <c r="B249" s="1134">
        <f>'Wrksht. H, CWIP Desc. EKS'!B248</f>
        <v>10100</v>
      </c>
      <c r="C249" s="1147" t="str">
        <f>'Wrksht. H, CWIP Desc. EKS'!C248</f>
        <v>J011412301</v>
      </c>
      <c r="D249" s="1159">
        <v>1113449.1100000001</v>
      </c>
      <c r="E249" s="1129">
        <f>'Wrksht. H, CWIP Desc. EKS'!D248</f>
        <v>0</v>
      </c>
      <c r="F249" s="1158">
        <v>42156</v>
      </c>
      <c r="G249" s="1320">
        <v>42109</v>
      </c>
      <c r="H249" s="1159">
        <v>0</v>
      </c>
      <c r="I249" s="1130">
        <f t="shared" si="13"/>
        <v>0</v>
      </c>
    </row>
    <row r="250" spans="1:9">
      <c r="A250" s="619">
        <f t="shared" si="12"/>
        <v>239</v>
      </c>
      <c r="B250" s="1134">
        <f>'Wrksht. H, CWIP Desc. EKS'!B249</f>
        <v>10100</v>
      </c>
      <c r="C250" s="1147" t="str">
        <f>'Wrksht. H, CWIP Desc. EKS'!C249</f>
        <v>05984 10001005</v>
      </c>
      <c r="D250" s="1159">
        <v>1614750.6</v>
      </c>
      <c r="E250" s="1129">
        <f>'Wrksht. H, CWIP Desc. EKS'!D249</f>
        <v>0</v>
      </c>
      <c r="F250" s="1158">
        <v>42156</v>
      </c>
      <c r="G250" s="1320">
        <v>42036</v>
      </c>
      <c r="H250" s="1159">
        <v>0</v>
      </c>
      <c r="I250" s="1130">
        <f t="shared" si="13"/>
        <v>0</v>
      </c>
    </row>
    <row r="251" spans="1:9">
      <c r="A251" s="619">
        <f t="shared" si="12"/>
        <v>240</v>
      </c>
      <c r="B251" s="1134">
        <f>'Wrksht. H, CWIP Desc. EKS'!B250</f>
        <v>10100</v>
      </c>
      <c r="C251" s="1147" t="str">
        <f>'Wrksht. H, CWIP Desc. EKS'!C250</f>
        <v>05984 10000422</v>
      </c>
      <c r="D251" s="1159">
        <v>1720198.16</v>
      </c>
      <c r="E251" s="1129">
        <f>'Wrksht. H, CWIP Desc. EKS'!D250</f>
        <v>0</v>
      </c>
      <c r="F251" s="1158">
        <v>42156</v>
      </c>
      <c r="G251" s="1320">
        <v>42095</v>
      </c>
      <c r="H251" s="1159">
        <v>0</v>
      </c>
      <c r="I251" s="1130">
        <f t="shared" si="13"/>
        <v>0</v>
      </c>
    </row>
    <row r="252" spans="1:9">
      <c r="A252" s="619">
        <f t="shared" si="12"/>
        <v>241</v>
      </c>
      <c r="B252" s="1134">
        <f>'Wrksht. H, CWIP Desc. EKS'!B251</f>
        <v>10100</v>
      </c>
      <c r="C252" s="1176" t="str">
        <f>'Wrksht. H, CWIP Desc. EKS'!C251</f>
        <v>05984 10000231</v>
      </c>
      <c r="D252" s="1159">
        <v>5828533.8600000003</v>
      </c>
      <c r="E252" s="1177">
        <f>'Wrksht. H, CWIP Desc. EKS'!D251</f>
        <v>0</v>
      </c>
      <c r="F252" s="1158">
        <v>42156</v>
      </c>
      <c r="G252" s="1320">
        <v>43040</v>
      </c>
      <c r="H252" s="1159">
        <v>0</v>
      </c>
      <c r="I252" s="1130">
        <f t="shared" si="13"/>
        <v>0</v>
      </c>
    </row>
    <row r="253" spans="1:9">
      <c r="A253" s="619">
        <f t="shared" si="12"/>
        <v>242</v>
      </c>
      <c r="B253" s="1134">
        <f>'Wrksht. H, CWIP Desc. EKS'!B252</f>
        <v>10100</v>
      </c>
      <c r="C253" s="1147" t="str">
        <f>'Wrksht. H, CWIP Desc. EKS'!C252</f>
        <v>05984 7003262</v>
      </c>
      <c r="D253" s="1159">
        <v>1924616.95</v>
      </c>
      <c r="E253" s="1129">
        <f>'Wrksht. H, CWIP Desc. EKS'!D252</f>
        <v>0</v>
      </c>
      <c r="F253" s="1158">
        <v>42156</v>
      </c>
      <c r="G253" s="1320">
        <v>42069</v>
      </c>
      <c r="H253" s="1159">
        <v>0</v>
      </c>
      <c r="I253" s="1130">
        <f t="shared" si="13"/>
        <v>0</v>
      </c>
    </row>
    <row r="254" spans="1:9">
      <c r="A254" s="619">
        <f t="shared" si="12"/>
        <v>243</v>
      </c>
      <c r="B254" s="1134">
        <f>'Wrksht. H, CWIP Desc. EKS'!B253</f>
        <v>10100</v>
      </c>
      <c r="C254" s="1147" t="str">
        <f>'Wrksht. H, CWIP Desc. EKS'!C253</f>
        <v>05984 10000421</v>
      </c>
      <c r="D254" s="1159">
        <v>2511603.5</v>
      </c>
      <c r="E254" s="1129">
        <f>'Wrksht. H, CWIP Desc. EKS'!D253</f>
        <v>0</v>
      </c>
      <c r="F254" s="1158">
        <v>42156</v>
      </c>
      <c r="G254" s="1320">
        <v>42095</v>
      </c>
      <c r="H254" s="1159">
        <v>0</v>
      </c>
      <c r="I254" s="1130">
        <f t="shared" si="13"/>
        <v>0</v>
      </c>
    </row>
    <row r="255" spans="1:9">
      <c r="A255" s="619">
        <f t="shared" si="12"/>
        <v>244</v>
      </c>
      <c r="B255" s="1134">
        <f>'Wrksht. H, CWIP Desc. EKS'!B254</f>
        <v>10100</v>
      </c>
      <c r="C255" s="1147" t="str">
        <f>'Wrksht. H, CWIP Desc. EKS'!C254</f>
        <v>05984 7203279</v>
      </c>
      <c r="D255" s="1159">
        <v>2769589.54</v>
      </c>
      <c r="E255" s="1129">
        <f>'Wrksht. H, CWIP Desc. EKS'!D254</f>
        <v>0</v>
      </c>
      <c r="F255" s="1158">
        <v>42156</v>
      </c>
      <c r="G255" s="1320">
        <v>42036</v>
      </c>
      <c r="H255" s="1159">
        <v>0</v>
      </c>
      <c r="I255" s="1130">
        <f t="shared" si="13"/>
        <v>0</v>
      </c>
    </row>
    <row r="256" spans="1:9">
      <c r="A256" s="619">
        <f t="shared" si="12"/>
        <v>245</v>
      </c>
      <c r="B256" s="1134">
        <f>'Wrksht. H, CWIP Desc. EKS'!B255</f>
        <v>10100</v>
      </c>
      <c r="C256" s="1147" t="str">
        <f>'Wrksht. H, CWIP Desc. EKS'!C255</f>
        <v>05984 7203280</v>
      </c>
      <c r="D256" s="1159">
        <v>3983374.37</v>
      </c>
      <c r="E256" s="1129">
        <f>'Wrksht. H, CWIP Desc. EKS'!D255</f>
        <v>0</v>
      </c>
      <c r="F256" s="1158">
        <v>42156</v>
      </c>
      <c r="G256" s="1320">
        <v>42036</v>
      </c>
      <c r="H256" s="1159">
        <v>0</v>
      </c>
      <c r="I256" s="1130">
        <f t="shared" si="13"/>
        <v>0</v>
      </c>
    </row>
    <row r="257" spans="1:10">
      <c r="A257" s="619">
        <f t="shared" si="12"/>
        <v>246</v>
      </c>
      <c r="B257" s="1134">
        <f>'Wrksht. H, CWIP Desc. EKS'!B256</f>
        <v>10100</v>
      </c>
      <c r="C257" s="1147" t="str">
        <f>'Wrksht. H, CWIP Desc. EKS'!C256</f>
        <v>08400 013944</v>
      </c>
      <c r="D257" s="1159">
        <v>1312843.32</v>
      </c>
      <c r="E257" s="1129">
        <f>'Wrksht. H, CWIP Desc. EKS'!D256</f>
        <v>0</v>
      </c>
      <c r="F257" s="1158">
        <v>42156</v>
      </c>
      <c r="G257" s="1320">
        <v>42461</v>
      </c>
      <c r="H257" s="1159">
        <v>0</v>
      </c>
      <c r="I257" s="1130">
        <f>IF((E257-H257)&lt;=1000000,-H257,E257-H257)</f>
        <v>0</v>
      </c>
    </row>
    <row r="258" spans="1:10">
      <c r="A258" s="619">
        <f t="shared" si="12"/>
        <v>247</v>
      </c>
      <c r="B258" s="1134">
        <f>'Wrksht. H, CWIP Desc. EKS'!B257</f>
        <v>10100</v>
      </c>
      <c r="C258" s="1147" t="str">
        <f>'Wrksht. H, CWIP Desc. EKS'!C257</f>
        <v>08400 014254</v>
      </c>
      <c r="D258" s="1159">
        <v>-300.85000000000002</v>
      </c>
      <c r="E258" s="1129">
        <f>'Wrksht. H, CWIP Desc. EKS'!D257</f>
        <v>0</v>
      </c>
      <c r="F258" s="1158">
        <v>42156</v>
      </c>
      <c r="G258" s="1320">
        <v>42675</v>
      </c>
      <c r="H258" s="1159">
        <v>0</v>
      </c>
      <c r="I258" s="1130">
        <f t="shared" ref="I258:I265" si="14">IF((E258-H258)&lt;=1000000,-H258,E258-H258)</f>
        <v>0</v>
      </c>
    </row>
    <row r="259" spans="1:10">
      <c r="A259" s="619">
        <f t="shared" si="12"/>
        <v>248</v>
      </c>
      <c r="B259" s="1134">
        <f>'Wrksht. H, CWIP Desc. EKS'!B258</f>
        <v>10100</v>
      </c>
      <c r="C259" s="1147" t="str">
        <f>'Wrksht. H, CWIP Desc. EKS'!C258</f>
        <v>08400 014459</v>
      </c>
      <c r="D259" s="1159">
        <v>1338028.69</v>
      </c>
      <c r="E259" s="1129">
        <f>'Wrksht. H, CWIP Desc. EKS'!D258</f>
        <v>0</v>
      </c>
      <c r="F259" s="1158">
        <v>42156</v>
      </c>
      <c r="G259" s="1320">
        <v>42313</v>
      </c>
      <c r="H259" s="1159">
        <v>0</v>
      </c>
      <c r="I259" s="1130">
        <f t="shared" si="14"/>
        <v>0</v>
      </c>
    </row>
    <row r="260" spans="1:10">
      <c r="A260" s="619">
        <f t="shared" si="12"/>
        <v>249</v>
      </c>
      <c r="B260" s="1134">
        <f>'Wrksht. H, CWIP Desc. EKS'!B259</f>
        <v>10100</v>
      </c>
      <c r="C260" s="1147" t="str">
        <f>'Wrksht. H, CWIP Desc. EKS'!C259</f>
        <v>08400 014461</v>
      </c>
      <c r="D260" s="1159">
        <v>1369341.3399999999</v>
      </c>
      <c r="E260" s="1129">
        <f>'Wrksht. H, CWIP Desc. EKS'!D259</f>
        <v>0</v>
      </c>
      <c r="F260" s="1158">
        <v>42156</v>
      </c>
      <c r="G260" s="1320">
        <v>42122</v>
      </c>
      <c r="H260" s="1159">
        <v>0</v>
      </c>
      <c r="I260" s="1130">
        <f t="shared" si="14"/>
        <v>0</v>
      </c>
    </row>
    <row r="261" spans="1:10">
      <c r="A261" s="619">
        <f t="shared" si="12"/>
        <v>250</v>
      </c>
      <c r="B261" s="1134">
        <f>'Wrksht. H, CWIP Desc. EKS'!B260</f>
        <v>10100</v>
      </c>
      <c r="C261" s="1147" t="str">
        <f>'Wrksht. H, CWIP Desc. EKS'!C260</f>
        <v>08400 014269</v>
      </c>
      <c r="D261" s="1159">
        <v>4333897.08</v>
      </c>
      <c r="E261" s="1129">
        <f>'Wrksht. H, CWIP Desc. EKS'!D260</f>
        <v>0</v>
      </c>
      <c r="F261" s="1320">
        <v>42156</v>
      </c>
      <c r="G261" s="1320">
        <v>43256</v>
      </c>
      <c r="H261" s="1322">
        <v>0</v>
      </c>
      <c r="I261" s="1130">
        <f>IF((E261-H261)&lt;=1000000,-H261,E261-H261)</f>
        <v>0</v>
      </c>
    </row>
    <row r="262" spans="1:10">
      <c r="A262" s="619">
        <f t="shared" si="12"/>
        <v>251</v>
      </c>
      <c r="B262" s="1134">
        <f>'Wrksht. H, CWIP Desc. EKS'!B261</f>
        <v>10100</v>
      </c>
      <c r="C262" s="1147" t="str">
        <f>'Wrksht. H, CWIP Desc. EKS'!C261</f>
        <v>08400 013321</v>
      </c>
      <c r="D262" s="1159">
        <v>681110.98</v>
      </c>
      <c r="E262" s="1129">
        <f>'Wrksht. H, CWIP Desc. EKS'!D261</f>
        <v>792692.26</v>
      </c>
      <c r="F262" s="1320">
        <v>42156</v>
      </c>
      <c r="G262" s="1315">
        <v>0</v>
      </c>
      <c r="H262" s="1322">
        <v>469024.79999999993</v>
      </c>
      <c r="I262" s="1130">
        <f>IF((E262-H262)&lt;=1000000,-H262,E262-H262)</f>
        <v>-469024.79999999993</v>
      </c>
      <c r="J262" s="1462"/>
    </row>
    <row r="263" spans="1:10">
      <c r="A263" s="619">
        <f t="shared" si="12"/>
        <v>252</v>
      </c>
      <c r="B263" s="1134">
        <f>'Wrksht. H, CWIP Desc. EKS'!B262</f>
        <v>10100</v>
      </c>
      <c r="C263" s="1147" t="str">
        <f>'Wrksht. H, CWIP Desc. EKS'!C262</f>
        <v>08400 014003</v>
      </c>
      <c r="D263" s="1159">
        <v>4005409.45</v>
      </c>
      <c r="E263" s="1129">
        <f>'Wrksht. H, CWIP Desc. EKS'!D262</f>
        <v>0</v>
      </c>
      <c r="F263" s="1320">
        <v>42156</v>
      </c>
      <c r="G263" s="1320">
        <v>42220</v>
      </c>
      <c r="H263" s="1322">
        <v>0</v>
      </c>
      <c r="I263" s="1130">
        <f t="shared" si="14"/>
        <v>0</v>
      </c>
    </row>
    <row r="264" spans="1:10">
      <c r="A264" s="619">
        <f t="shared" si="12"/>
        <v>253</v>
      </c>
      <c r="B264" s="1134">
        <f>'Wrksht. H, CWIP Desc. EKS'!B263</f>
        <v>10100</v>
      </c>
      <c r="C264" s="1176" t="str">
        <f>'Wrksht. H, CWIP Desc. EKS'!C263</f>
        <v>08400 501209</v>
      </c>
      <c r="D264" s="1159">
        <v>18181843.84</v>
      </c>
      <c r="E264" s="1177">
        <f>'Wrksht. H, CWIP Desc. EKS'!D263</f>
        <v>0</v>
      </c>
      <c r="F264" s="1320">
        <v>42156</v>
      </c>
      <c r="G264" s="1316">
        <v>43935</v>
      </c>
      <c r="H264" s="1322">
        <v>0</v>
      </c>
      <c r="I264" s="1130">
        <f>IF((E264-H264)&lt;=1000000,-H264,E264-H264)</f>
        <v>0</v>
      </c>
    </row>
    <row r="265" spans="1:10">
      <c r="A265" s="757">
        <f t="shared" si="12"/>
        <v>254</v>
      </c>
      <c r="B265" s="1133">
        <f>'Wrksht. H, CWIP Desc. EKS'!B264</f>
        <v>10100</v>
      </c>
      <c r="C265" s="1146" t="str">
        <f>'Wrksht. H, CWIP Desc. EKS'!C264</f>
        <v>08400 013424</v>
      </c>
      <c r="D265" s="1160">
        <v>9401409.5600000005</v>
      </c>
      <c r="E265" s="1126">
        <f>'Wrksht. H, CWIP Desc. EKS'!D264</f>
        <v>0</v>
      </c>
      <c r="F265" s="1316">
        <v>42156</v>
      </c>
      <c r="G265" s="1316">
        <v>42227</v>
      </c>
      <c r="H265" s="1315">
        <v>0</v>
      </c>
      <c r="I265" s="1127">
        <f t="shared" si="14"/>
        <v>0</v>
      </c>
    </row>
    <row r="266" spans="1:10">
      <c r="A266" s="757">
        <f t="shared" si="12"/>
        <v>255</v>
      </c>
      <c r="B266" s="1133">
        <f>'Wrksht. H, CWIP Desc. EKS'!B265</f>
        <v>10100</v>
      </c>
      <c r="C266" s="1146" t="str">
        <f>'Wrksht. H, CWIP Desc. EKS'!C265</f>
        <v>J00622001</v>
      </c>
      <c r="D266" s="1160">
        <v>1298197.4099999999</v>
      </c>
      <c r="E266" s="1126">
        <f>'Wrksht. H, CWIP Desc. EKS'!D265</f>
        <v>0</v>
      </c>
      <c r="F266" s="1316">
        <v>42522</v>
      </c>
      <c r="G266" s="1316">
        <v>42711</v>
      </c>
      <c r="H266" s="1315">
        <v>0</v>
      </c>
      <c r="I266" s="1127">
        <f t="shared" ref="I266:I288" si="15">IF((E266-H266)&lt;=1000000,-H266,E266-H266)</f>
        <v>0</v>
      </c>
    </row>
    <row r="267" spans="1:10">
      <c r="A267" s="619">
        <f t="shared" si="12"/>
        <v>256</v>
      </c>
      <c r="B267" s="1134">
        <f>'Wrksht. H, CWIP Desc. EKS'!B266</f>
        <v>10100</v>
      </c>
      <c r="C267" s="1147" t="str">
        <f>'Wrksht. H, CWIP Desc. EKS'!C266</f>
        <v>05984 7081500</v>
      </c>
      <c r="D267" s="1159">
        <v>1210709.3600000001</v>
      </c>
      <c r="E267" s="1129">
        <f>'Wrksht. H, CWIP Desc. EKS'!D266</f>
        <v>0</v>
      </c>
      <c r="F267" s="1320">
        <v>42522</v>
      </c>
      <c r="G267" s="1320">
        <v>42491</v>
      </c>
      <c r="H267" s="1322">
        <v>0</v>
      </c>
      <c r="I267" s="1130">
        <f t="shared" si="15"/>
        <v>0</v>
      </c>
    </row>
    <row r="268" spans="1:10">
      <c r="A268" s="757">
        <f t="shared" si="12"/>
        <v>257</v>
      </c>
      <c r="B268" s="1133">
        <f>'Wrksht. H, CWIP Desc. EKS'!B267</f>
        <v>10100</v>
      </c>
      <c r="C268" s="1146" t="str">
        <f>'Wrksht. H, CWIP Desc. EKS'!C267</f>
        <v>05984 10000364</v>
      </c>
      <c r="D268" s="1160">
        <v>5915299.1900000004</v>
      </c>
      <c r="E268" s="1126">
        <f>'Wrksht. H, CWIP Desc. EKS'!D267</f>
        <v>0</v>
      </c>
      <c r="F268" s="1316">
        <v>42522</v>
      </c>
      <c r="G268" s="1316">
        <v>42853</v>
      </c>
      <c r="H268" s="1315">
        <v>0</v>
      </c>
      <c r="I268" s="1127">
        <f t="shared" si="15"/>
        <v>0</v>
      </c>
    </row>
    <row r="269" spans="1:10">
      <c r="A269" s="757">
        <f t="shared" si="12"/>
        <v>258</v>
      </c>
      <c r="B269" s="1133">
        <f>'Wrksht. H, CWIP Desc. EKS'!B268</f>
        <v>10100</v>
      </c>
      <c r="C269" s="1146" t="str">
        <f>'Wrksht. H, CWIP Desc. EKS'!C268</f>
        <v>05984 10000778</v>
      </c>
      <c r="D269" s="1160">
        <v>1139287.43</v>
      </c>
      <c r="E269" s="1126">
        <f>'Wrksht. H, CWIP Desc. EKS'!D268</f>
        <v>0</v>
      </c>
      <c r="F269" s="1316">
        <v>42887</v>
      </c>
      <c r="G269" s="1316">
        <v>42948</v>
      </c>
      <c r="H269" s="1315">
        <v>0</v>
      </c>
      <c r="I269" s="1127">
        <f t="shared" si="15"/>
        <v>0</v>
      </c>
    </row>
    <row r="270" spans="1:10" ht="13.8" thickBot="1">
      <c r="A270" s="619">
        <f t="shared" si="12"/>
        <v>259</v>
      </c>
      <c r="B270" s="1134">
        <f>'Wrksht. H, CWIP Desc. EKS'!B269</f>
        <v>10100</v>
      </c>
      <c r="C270" s="1147" t="str">
        <f>'Wrksht. H, CWIP Desc. EKS'!C269</f>
        <v>05984 10001304</v>
      </c>
      <c r="D270" s="1159">
        <v>2667143.89</v>
      </c>
      <c r="E270" s="1129">
        <f>'Wrksht. H, CWIP Desc. EKS'!D269</f>
        <v>0</v>
      </c>
      <c r="F270" s="1320">
        <v>42887</v>
      </c>
      <c r="G270" s="1322">
        <v>0</v>
      </c>
      <c r="H270" s="1322">
        <v>0</v>
      </c>
      <c r="I270" s="1130">
        <f t="shared" si="15"/>
        <v>0</v>
      </c>
    </row>
    <row r="271" spans="1:10" ht="13.8" thickTop="1">
      <c r="A271" s="1247">
        <f t="shared" si="12"/>
        <v>260</v>
      </c>
      <c r="B271" s="1187">
        <f>'Wrksht. H, CWIP Desc. EKS'!B270</f>
        <v>10100</v>
      </c>
      <c r="C271" s="1221" t="str">
        <f>'Wrksht. H, CWIP Desc. EKS'!C270</f>
        <v>05984 10002197</v>
      </c>
      <c r="D271" s="1248">
        <v>-107.7</v>
      </c>
      <c r="E271" s="1222">
        <f>'Wrksht. H, CWIP Desc. EKS'!D270</f>
        <v>0</v>
      </c>
      <c r="F271" s="1328">
        <v>43252</v>
      </c>
      <c r="G271" s="1328">
        <v>43314</v>
      </c>
      <c r="H271" s="1603">
        <v>0</v>
      </c>
      <c r="I271" s="1188">
        <f t="shared" si="15"/>
        <v>0</v>
      </c>
    </row>
    <row r="272" spans="1:10">
      <c r="A272" s="619">
        <f t="shared" si="12"/>
        <v>261</v>
      </c>
      <c r="B272" s="1133">
        <f>'Wrksht. H, CWIP Desc. EKS'!B271</f>
        <v>10100</v>
      </c>
      <c r="C272" s="1198" t="str">
        <f>'Wrksht. H, CWIP Desc. EKS'!C271</f>
        <v>05984 10001705</v>
      </c>
      <c r="D272" s="1249">
        <v>1325354.98</v>
      </c>
      <c r="E272" s="1126">
        <f>'Wrksht. H, CWIP Desc. EKS'!D271</f>
        <v>0</v>
      </c>
      <c r="F272" s="1316">
        <v>43252</v>
      </c>
      <c r="G272" s="1316">
        <v>43223</v>
      </c>
      <c r="H272" s="1315">
        <v>0</v>
      </c>
      <c r="I272" s="1127">
        <f t="shared" si="15"/>
        <v>0</v>
      </c>
    </row>
    <row r="273" spans="1:10">
      <c r="A273" s="619">
        <f t="shared" si="12"/>
        <v>262</v>
      </c>
      <c r="B273" s="1133">
        <f>'Wrksht. H, CWIP Desc. EKS'!B272</f>
        <v>10100</v>
      </c>
      <c r="C273" s="1198" t="str">
        <f>'Wrksht. H, CWIP Desc. EKS'!C272</f>
        <v>05984 10001867</v>
      </c>
      <c r="D273" s="1249">
        <v>1375672.36</v>
      </c>
      <c r="E273" s="1126">
        <f>'Wrksht. H, CWIP Desc. EKS'!D272</f>
        <v>0</v>
      </c>
      <c r="F273" s="1316">
        <v>43252</v>
      </c>
      <c r="G273" s="1316">
        <v>43160</v>
      </c>
      <c r="H273" s="1315">
        <v>0</v>
      </c>
      <c r="I273" s="1127">
        <f t="shared" si="15"/>
        <v>0</v>
      </c>
    </row>
    <row r="274" spans="1:10">
      <c r="A274" s="619">
        <f t="shared" si="12"/>
        <v>263</v>
      </c>
      <c r="B274" s="1133">
        <f>'Wrksht. H, CWIP Desc. EKS'!B273</f>
        <v>10100</v>
      </c>
      <c r="C274" s="1198" t="str">
        <f>'Wrksht. H, CWIP Desc. EKS'!C273</f>
        <v>05984 10002361</v>
      </c>
      <c r="D274" s="1249">
        <v>1872304.47</v>
      </c>
      <c r="E274" s="1126">
        <f>'Wrksht. H, CWIP Desc. EKS'!D273</f>
        <v>0</v>
      </c>
      <c r="F274" s="1316">
        <v>43252</v>
      </c>
      <c r="G274" s="1316">
        <v>43160</v>
      </c>
      <c r="H274" s="1315">
        <v>0</v>
      </c>
      <c r="I274" s="1127">
        <f t="shared" si="15"/>
        <v>0</v>
      </c>
    </row>
    <row r="275" spans="1:10">
      <c r="A275" s="619">
        <f t="shared" si="12"/>
        <v>264</v>
      </c>
      <c r="B275" s="1133">
        <f>'Wrksht. H, CWIP Desc. EKS'!B274</f>
        <v>10100</v>
      </c>
      <c r="C275" s="1198" t="str">
        <f>'Wrksht. H, CWIP Desc. EKS'!C274</f>
        <v>J01089301</v>
      </c>
      <c r="D275" s="1249">
        <v>1902546.2</v>
      </c>
      <c r="E275" s="1126">
        <f>'Wrksht. H, CWIP Desc. EKS'!D274</f>
        <v>0</v>
      </c>
      <c r="F275" s="1316">
        <v>43252</v>
      </c>
      <c r="G275" s="1316">
        <v>43292</v>
      </c>
      <c r="H275" s="1315">
        <v>0</v>
      </c>
      <c r="I275" s="1127">
        <f t="shared" si="15"/>
        <v>0</v>
      </c>
    </row>
    <row r="276" spans="1:10">
      <c r="A276" s="619">
        <f t="shared" si="12"/>
        <v>265</v>
      </c>
      <c r="B276" s="1133">
        <f>'Wrksht. H, CWIP Desc. EKS'!B275</f>
        <v>10100</v>
      </c>
      <c r="C276" s="1198" t="str">
        <f>'Wrksht. H, CWIP Desc. EKS'!C275</f>
        <v>05984 10001725</v>
      </c>
      <c r="D276" s="1249">
        <v>2175399.34</v>
      </c>
      <c r="E276" s="1126">
        <f>'Wrksht. H, CWIP Desc. EKS'!D275</f>
        <v>0</v>
      </c>
      <c r="F276" s="1316">
        <v>43252</v>
      </c>
      <c r="G276" s="1316">
        <v>42916</v>
      </c>
      <c r="H276" s="1315">
        <v>0</v>
      </c>
      <c r="I276" s="1127">
        <f t="shared" si="15"/>
        <v>0</v>
      </c>
    </row>
    <row r="277" spans="1:10">
      <c r="A277" s="619">
        <f t="shared" si="12"/>
        <v>266</v>
      </c>
      <c r="B277" s="1133">
        <f>'Wrksht. H, CWIP Desc. EKS'!B276</f>
        <v>10100</v>
      </c>
      <c r="C277" s="1198" t="str">
        <f>'Wrksht. H, CWIP Desc. EKS'!C276</f>
        <v>05984 10001303</v>
      </c>
      <c r="D277" s="1249">
        <v>2213481.2999999998</v>
      </c>
      <c r="E277" s="1126">
        <f>'Wrksht. H, CWIP Desc. EKS'!D276</f>
        <v>0</v>
      </c>
      <c r="F277" s="1316">
        <v>43252</v>
      </c>
      <c r="G277" s="1322">
        <v>0</v>
      </c>
      <c r="H277" s="1315">
        <v>0</v>
      </c>
      <c r="I277" s="1127">
        <f t="shared" si="15"/>
        <v>0</v>
      </c>
    </row>
    <row r="278" spans="1:10">
      <c r="A278" s="619">
        <f t="shared" si="12"/>
        <v>267</v>
      </c>
      <c r="B278" s="1133">
        <f>'Wrksht. H, CWIP Desc. EKS'!B277</f>
        <v>10100</v>
      </c>
      <c r="C278" s="1198" t="str">
        <f>'Wrksht. H, CWIP Desc. EKS'!C277</f>
        <v>05984 10001954</v>
      </c>
      <c r="D278" s="1249">
        <v>4149442.43</v>
      </c>
      <c r="E278" s="1126">
        <f>'Wrksht. H, CWIP Desc. EKS'!D277</f>
        <v>0</v>
      </c>
      <c r="F278" s="1316">
        <v>43252</v>
      </c>
      <c r="G278" s="1316">
        <v>43040</v>
      </c>
      <c r="H278" s="1315">
        <v>0</v>
      </c>
      <c r="I278" s="1127">
        <f t="shared" si="15"/>
        <v>0</v>
      </c>
    </row>
    <row r="279" spans="1:10">
      <c r="A279" s="619">
        <f t="shared" si="12"/>
        <v>268</v>
      </c>
      <c r="B279" s="1133">
        <f>'Wrksht. H, CWIP Desc. EKS'!B278</f>
        <v>10100</v>
      </c>
      <c r="C279" s="1198" t="str">
        <f>'Wrksht. H, CWIP Desc. EKS'!C278</f>
        <v>08400 014966</v>
      </c>
      <c r="D279" s="1249">
        <v>8690930.8000000007</v>
      </c>
      <c r="E279" s="1126">
        <f>'Wrksht. H, CWIP Desc. EKS'!D278</f>
        <v>0</v>
      </c>
      <c r="F279" s="1316">
        <v>43252</v>
      </c>
      <c r="G279" s="1316">
        <v>43209</v>
      </c>
      <c r="H279" s="1315">
        <v>0</v>
      </c>
      <c r="I279" s="1127">
        <f t="shared" si="15"/>
        <v>0</v>
      </c>
    </row>
    <row r="280" spans="1:10">
      <c r="A280" s="619">
        <f t="shared" si="12"/>
        <v>269</v>
      </c>
      <c r="B280" s="1133">
        <f>'Wrksht. H, CWIP Desc. EKS'!B279</f>
        <v>10100</v>
      </c>
      <c r="C280" s="1198" t="str">
        <f>'Wrksht. H, CWIP Desc. EKS'!C279</f>
        <v>08400 013324</v>
      </c>
      <c r="D280" s="1249">
        <v>2878.65</v>
      </c>
      <c r="E280" s="1126">
        <f>'Wrksht. H, CWIP Desc. EKS'!D279</f>
        <v>0</v>
      </c>
      <c r="F280" s="1316">
        <v>43252</v>
      </c>
      <c r="G280" s="1316">
        <v>44375</v>
      </c>
      <c r="H280" s="1315">
        <v>0</v>
      </c>
      <c r="I280" s="1127">
        <f t="shared" si="15"/>
        <v>0</v>
      </c>
      <c r="J280" s="1462"/>
    </row>
    <row r="281" spans="1:10">
      <c r="A281" s="619">
        <f t="shared" si="12"/>
        <v>270</v>
      </c>
      <c r="B281" s="1133">
        <f>'Wrksht. H, CWIP Desc. EKS'!B280</f>
        <v>10100</v>
      </c>
      <c r="C281" s="1198" t="str">
        <f>'Wrksht. H, CWIP Desc. EKS'!C280</f>
        <v>08400 014998</v>
      </c>
      <c r="D281" s="1249">
        <v>6032189.7199999997</v>
      </c>
      <c r="E281" s="1126">
        <f>'Wrksht. H, CWIP Desc. EKS'!D280</f>
        <v>0</v>
      </c>
      <c r="F281" s="1316">
        <v>43252</v>
      </c>
      <c r="G281" s="1316">
        <v>43211</v>
      </c>
      <c r="H281" s="1315">
        <v>0</v>
      </c>
      <c r="I281" s="1127">
        <f>IF((E281-H281)&lt;=1000000,-H281,E281-H281)</f>
        <v>0</v>
      </c>
    </row>
    <row r="282" spans="1:10">
      <c r="A282" s="619">
        <f>A281+1</f>
        <v>271</v>
      </c>
      <c r="B282" s="1133">
        <f>'Wrksht. H, CWIP Desc. EKS'!B281</f>
        <v>10100</v>
      </c>
      <c r="C282" s="1198" t="str">
        <f>'Wrksht. H, CWIP Desc. EKS'!C281</f>
        <v>08400 014389</v>
      </c>
      <c r="D282" s="1249">
        <v>3409569.78</v>
      </c>
      <c r="E282" s="1126">
        <f>'Wrksht. H, CWIP Desc. EKS'!D281</f>
        <v>0</v>
      </c>
      <c r="F282" s="1316">
        <v>43252</v>
      </c>
      <c r="G282" s="1316">
        <v>43325</v>
      </c>
      <c r="H282" s="1315">
        <v>0</v>
      </c>
      <c r="I282" s="1127">
        <f t="shared" si="15"/>
        <v>0</v>
      </c>
    </row>
    <row r="283" spans="1:10">
      <c r="A283" s="619">
        <f t="shared" si="12"/>
        <v>272</v>
      </c>
      <c r="B283" s="1133">
        <f>'Wrksht. H, CWIP Desc. EKS'!B282</f>
        <v>10100</v>
      </c>
      <c r="C283" s="1198" t="str">
        <f>'Wrksht. H, CWIP Desc. EKS'!C282</f>
        <v>08400 014863</v>
      </c>
      <c r="D283" s="1249">
        <v>2983390.37</v>
      </c>
      <c r="E283" s="1126">
        <f>'Wrksht. H, CWIP Desc. EKS'!D282</f>
        <v>0</v>
      </c>
      <c r="F283" s="1316">
        <v>43252</v>
      </c>
      <c r="G283" s="1316">
        <v>43225</v>
      </c>
      <c r="H283" s="1315">
        <v>0</v>
      </c>
      <c r="I283" s="1127">
        <f t="shared" si="15"/>
        <v>0</v>
      </c>
    </row>
    <row r="284" spans="1:10">
      <c r="A284" s="619">
        <f t="shared" si="12"/>
        <v>273</v>
      </c>
      <c r="B284" s="1133">
        <f>'Wrksht. H, CWIP Desc. EKS'!B283</f>
        <v>10100</v>
      </c>
      <c r="C284" s="1198" t="str">
        <f>'Wrksht. H, CWIP Desc. EKS'!C283</f>
        <v>08400 501423</v>
      </c>
      <c r="D284" s="1249">
        <v>10275703.779999999</v>
      </c>
      <c r="E284" s="1126">
        <f>'Wrksht. H, CWIP Desc. EKS'!D283</f>
        <v>7185149.8899999997</v>
      </c>
      <c r="F284" s="1316">
        <v>43252</v>
      </c>
      <c r="G284" s="1322">
        <v>0</v>
      </c>
      <c r="H284" s="1315">
        <v>244665.2</v>
      </c>
      <c r="I284" s="1127">
        <f t="shared" si="15"/>
        <v>6940484.6899999995</v>
      </c>
      <c r="J284" s="1462"/>
    </row>
    <row r="285" spans="1:10">
      <c r="A285" s="619">
        <f t="shared" si="12"/>
        <v>274</v>
      </c>
      <c r="B285" s="1133">
        <f>'Wrksht. H, CWIP Desc. EKS'!B284</f>
        <v>10100</v>
      </c>
      <c r="C285" s="1198" t="str">
        <f>'Wrksht. H, CWIP Desc. EKS'!C284</f>
        <v>08400 015044</v>
      </c>
      <c r="D285" s="1249">
        <v>3796338.26</v>
      </c>
      <c r="E285" s="1126">
        <f>'Wrksht. H, CWIP Desc. EKS'!D284</f>
        <v>0</v>
      </c>
      <c r="F285" s="1316">
        <v>43252</v>
      </c>
      <c r="G285" s="1316">
        <v>43556</v>
      </c>
      <c r="H285" s="1315">
        <v>0</v>
      </c>
      <c r="I285" s="1127">
        <f t="shared" si="15"/>
        <v>0</v>
      </c>
    </row>
    <row r="286" spans="1:10">
      <c r="A286" s="619">
        <f t="shared" si="12"/>
        <v>275</v>
      </c>
      <c r="B286" s="1133">
        <f>'Wrksht. H, CWIP Desc. EKS'!B285</f>
        <v>10100</v>
      </c>
      <c r="C286" s="1198" t="str">
        <f>'Wrksht. H, CWIP Desc. EKS'!C285</f>
        <v>08400 014504</v>
      </c>
      <c r="D286" s="1249">
        <v>1430597.6</v>
      </c>
      <c r="E286" s="1126">
        <f>'Wrksht. H, CWIP Desc. EKS'!D285</f>
        <v>0</v>
      </c>
      <c r="F286" s="1316">
        <v>43252</v>
      </c>
      <c r="G286" s="1316">
        <v>43693</v>
      </c>
      <c r="H286" s="1315">
        <v>0</v>
      </c>
      <c r="I286" s="1127">
        <f t="shared" si="15"/>
        <v>0</v>
      </c>
    </row>
    <row r="287" spans="1:10">
      <c r="A287" s="619">
        <f t="shared" si="12"/>
        <v>276</v>
      </c>
      <c r="B287" s="1133">
        <f>'Wrksht. H, CWIP Desc. EKS'!B286</f>
        <v>10100</v>
      </c>
      <c r="C287" s="1198" t="str">
        <f>'Wrksht. H, CWIP Desc. EKS'!C286</f>
        <v>08400 013924</v>
      </c>
      <c r="D287" s="1249">
        <v>3522470.36</v>
      </c>
      <c r="E287" s="1126">
        <f>'Wrksht. H, CWIP Desc. EKS'!D286</f>
        <v>0</v>
      </c>
      <c r="F287" s="1316">
        <v>43252</v>
      </c>
      <c r="G287" s="1316">
        <v>45009</v>
      </c>
      <c r="H287" s="1315">
        <v>0</v>
      </c>
      <c r="I287" s="1127">
        <f t="shared" si="15"/>
        <v>0</v>
      </c>
      <c r="J287" s="1462"/>
    </row>
    <row r="288" spans="1:10">
      <c r="A288" s="619">
        <f t="shared" si="12"/>
        <v>277</v>
      </c>
      <c r="B288" s="1133">
        <f>'Wrksht. H, CWIP Desc. EKS'!B287</f>
        <v>10100</v>
      </c>
      <c r="C288" s="1198" t="str">
        <f>'Wrksht. H, CWIP Desc. EKS'!C287</f>
        <v>08400 013979</v>
      </c>
      <c r="D288" s="1249">
        <v>1323253.1600000001</v>
      </c>
      <c r="E288" s="1126">
        <f>'Wrksht. H, CWIP Desc. EKS'!D287</f>
        <v>0</v>
      </c>
      <c r="F288" s="1316">
        <v>43252</v>
      </c>
      <c r="G288" s="1316">
        <v>43474</v>
      </c>
      <c r="H288" s="1315">
        <v>0</v>
      </c>
      <c r="I288" s="1127">
        <f t="shared" si="15"/>
        <v>0</v>
      </c>
    </row>
    <row r="289" spans="1:11">
      <c r="A289" s="757">
        <f t="shared" si="12"/>
        <v>278</v>
      </c>
      <c r="B289" s="1133" t="str">
        <f>'Wrksht. H, CWIP Desc. EKS'!B288</f>
        <v>10100</v>
      </c>
      <c r="C289" s="1198" t="str">
        <f>'Wrksht. H, CWIP Desc. EKS'!C288</f>
        <v>05984 10002398</v>
      </c>
      <c r="D289" s="1249">
        <v>225.55</v>
      </c>
      <c r="E289" s="1126">
        <f>'Wrksht. H, CWIP Desc. EKS'!D288</f>
        <v>0</v>
      </c>
      <c r="F289" s="1316">
        <v>43617</v>
      </c>
      <c r="G289" s="1316">
        <v>43609</v>
      </c>
      <c r="H289" s="1315">
        <v>0</v>
      </c>
      <c r="I289" s="1127">
        <f t="shared" ref="I289:I297" si="16">IF((E289-H289)&lt;=1000000,-H289,E289-H289)</f>
        <v>0</v>
      </c>
    </row>
    <row r="290" spans="1:11">
      <c r="A290" s="757">
        <f t="shared" si="12"/>
        <v>279</v>
      </c>
      <c r="B290" s="1133" t="str">
        <f>'Wrksht. H, CWIP Desc. EKS'!B289</f>
        <v>10100</v>
      </c>
      <c r="C290" s="1198" t="str">
        <f>'Wrksht. H, CWIP Desc. EKS'!C289</f>
        <v>05984 10002652</v>
      </c>
      <c r="D290" s="1249">
        <v>1942.2</v>
      </c>
      <c r="E290" s="1126">
        <f>'Wrksht. H, CWIP Desc. EKS'!D289</f>
        <v>0</v>
      </c>
      <c r="F290" s="1316">
        <v>43617</v>
      </c>
      <c r="G290" s="1316">
        <v>43521</v>
      </c>
      <c r="H290" s="1315">
        <v>0</v>
      </c>
      <c r="I290" s="1127">
        <f t="shared" si="16"/>
        <v>0</v>
      </c>
    </row>
    <row r="291" spans="1:11">
      <c r="A291" s="757">
        <f t="shared" si="12"/>
        <v>280</v>
      </c>
      <c r="B291" s="1133" t="str">
        <f>'Wrksht. H, CWIP Desc. EKS'!B290</f>
        <v>10100</v>
      </c>
      <c r="C291" s="1198" t="str">
        <f>'Wrksht. H, CWIP Desc. EKS'!C290</f>
        <v>05984 10002812</v>
      </c>
      <c r="D291" s="1249">
        <v>1375443.93</v>
      </c>
      <c r="E291" s="1126">
        <f>'Wrksht. H, CWIP Desc. EKS'!D290</f>
        <v>0</v>
      </c>
      <c r="F291" s="1316">
        <v>43617</v>
      </c>
      <c r="G291" s="1316">
        <v>43466</v>
      </c>
      <c r="H291" s="1315">
        <v>0</v>
      </c>
      <c r="I291" s="1127">
        <f t="shared" si="16"/>
        <v>0</v>
      </c>
    </row>
    <row r="292" spans="1:11">
      <c r="A292" s="757">
        <f t="shared" ref="A292:A311" si="17">A291+1</f>
        <v>281</v>
      </c>
      <c r="B292" s="1133" t="str">
        <f>'Wrksht. H, CWIP Desc. EKS'!B291</f>
        <v>10100</v>
      </c>
      <c r="C292" s="1198" t="str">
        <f>'Wrksht. H, CWIP Desc. EKS'!C291</f>
        <v>J01412801</v>
      </c>
      <c r="D292" s="1249">
        <v>1304404.31</v>
      </c>
      <c r="E292" s="1126">
        <f>'Wrksht. H, CWIP Desc. EKS'!D291</f>
        <v>0</v>
      </c>
      <c r="F292" s="1316">
        <v>43617</v>
      </c>
      <c r="G292" s="1316">
        <v>43615</v>
      </c>
      <c r="H292" s="1315">
        <v>0</v>
      </c>
      <c r="I292" s="1127">
        <f t="shared" si="16"/>
        <v>0</v>
      </c>
    </row>
    <row r="293" spans="1:11">
      <c r="A293" s="757">
        <f t="shared" si="17"/>
        <v>282</v>
      </c>
      <c r="B293" s="1133" t="str">
        <f>'Wrksht. H, CWIP Desc. EKS'!B292</f>
        <v>10100</v>
      </c>
      <c r="C293" s="1198" t="str">
        <f>'Wrksht. H, CWIP Desc. EKS'!C292</f>
        <v>J19164801</v>
      </c>
      <c r="D293" s="1249">
        <v>2140830.58</v>
      </c>
      <c r="E293" s="1126">
        <f>'Wrksht. H, CWIP Desc. EKS'!D292</f>
        <v>0</v>
      </c>
      <c r="F293" s="1316">
        <v>43617</v>
      </c>
      <c r="G293" s="1316">
        <v>44595</v>
      </c>
      <c r="H293" s="1315">
        <v>0</v>
      </c>
      <c r="I293" s="1127">
        <f t="shared" si="16"/>
        <v>0</v>
      </c>
      <c r="J293" s="288"/>
      <c r="K293" s="9" t="s">
        <v>476</v>
      </c>
    </row>
    <row r="294" spans="1:11">
      <c r="A294" s="757">
        <f t="shared" si="17"/>
        <v>283</v>
      </c>
      <c r="B294" s="1133">
        <f>'Wrksht. H, CWIP Desc. EKS'!B293</f>
        <v>107000</v>
      </c>
      <c r="C294" s="1198" t="str">
        <f>'Wrksht. H, CWIP Desc. EKS'!C293</f>
        <v>08400 015226</v>
      </c>
      <c r="D294" s="1249">
        <v>1892.84</v>
      </c>
      <c r="E294" s="1126">
        <f>'Wrksht. H, CWIP Desc. EKS'!D293</f>
        <v>0</v>
      </c>
      <c r="F294" s="1316">
        <v>43617</v>
      </c>
      <c r="G294" s="1316">
        <v>44376</v>
      </c>
      <c r="H294" s="1315">
        <v>0</v>
      </c>
      <c r="I294" s="1127">
        <f t="shared" si="16"/>
        <v>0</v>
      </c>
    </row>
    <row r="295" spans="1:11">
      <c r="A295" s="757">
        <f t="shared" si="17"/>
        <v>284</v>
      </c>
      <c r="B295" s="1133">
        <f>'Wrksht. H, CWIP Desc. EKS'!B294</f>
        <v>107000</v>
      </c>
      <c r="C295" s="1198" t="str">
        <f>'Wrksht. H, CWIP Desc. EKS'!C294</f>
        <v>08400 020021</v>
      </c>
      <c r="D295" s="1249">
        <v>1699436.75</v>
      </c>
      <c r="E295" s="1126">
        <f>'Wrksht. H, CWIP Desc. EKS'!D294</f>
        <v>0</v>
      </c>
      <c r="F295" s="1316">
        <v>43617</v>
      </c>
      <c r="G295" s="1316">
        <v>44908</v>
      </c>
      <c r="H295" s="1315">
        <v>0</v>
      </c>
      <c r="I295" s="1127">
        <f t="shared" si="16"/>
        <v>0</v>
      </c>
    </row>
    <row r="296" spans="1:11">
      <c r="A296" s="757">
        <f t="shared" si="17"/>
        <v>285</v>
      </c>
      <c r="B296" s="1133">
        <f>'Wrksht. H, CWIP Desc. EKS'!B295</f>
        <v>107000</v>
      </c>
      <c r="C296" s="1198" t="str">
        <f>'Wrksht. H, CWIP Desc. EKS'!C295</f>
        <v>08400 501532</v>
      </c>
      <c r="D296" s="1249">
        <v>5142250.37</v>
      </c>
      <c r="E296" s="1126">
        <f>'Wrksht. H, CWIP Desc. EKS'!D295</f>
        <v>2240601.65</v>
      </c>
      <c r="F296" s="1316">
        <v>43617</v>
      </c>
      <c r="G296" s="1315">
        <v>0</v>
      </c>
      <c r="H296" s="1604">
        <v>177397.8</v>
      </c>
      <c r="I296" s="1127">
        <f t="shared" si="16"/>
        <v>2063203.8499999999</v>
      </c>
      <c r="J296" s="1462"/>
    </row>
    <row r="297" spans="1:11">
      <c r="A297" s="757">
        <f t="shared" si="17"/>
        <v>286</v>
      </c>
      <c r="B297" s="1133">
        <f>'Wrksht. H, CWIP Desc. EKS'!B296</f>
        <v>107000</v>
      </c>
      <c r="C297" s="1198" t="str">
        <f>'Wrksht. H, CWIP Desc. EKS'!C296</f>
        <v>08400 501555</v>
      </c>
      <c r="D297" s="1249">
        <v>8907906.0199999996</v>
      </c>
      <c r="E297" s="1126">
        <f>'Wrksht. H, CWIP Desc. EKS'!D296</f>
        <v>0</v>
      </c>
      <c r="F297" s="1316">
        <v>43617</v>
      </c>
      <c r="G297" s="1316">
        <v>43781</v>
      </c>
      <c r="H297" s="1315">
        <v>0</v>
      </c>
      <c r="I297" s="1127">
        <f t="shared" si="16"/>
        <v>0</v>
      </c>
    </row>
    <row r="298" spans="1:11">
      <c r="A298" s="757">
        <f t="shared" si="17"/>
        <v>287</v>
      </c>
      <c r="B298" s="1133">
        <f>'Wrksht. H, CWIP Desc. EKS'!B297</f>
        <v>107000</v>
      </c>
      <c r="C298" s="1198" t="str">
        <f>'Wrksht. H, CWIP Desc. EKS'!C297</f>
        <v>05984 10002868</v>
      </c>
      <c r="D298" s="1249">
        <v>1436788.4</v>
      </c>
      <c r="E298" s="1126">
        <f>'Wrksht. H, CWIP Desc. EKS'!D297</f>
        <v>0</v>
      </c>
      <c r="F298" s="1316">
        <v>43983</v>
      </c>
      <c r="G298" s="1316">
        <v>43887</v>
      </c>
      <c r="H298" s="1315">
        <v>0</v>
      </c>
      <c r="I298" s="1127">
        <f>IF((E298-H298)&lt;=1000000,-H298,E298-H298)</f>
        <v>0</v>
      </c>
    </row>
    <row r="299" spans="1:11">
      <c r="A299" s="757">
        <f t="shared" si="17"/>
        <v>288</v>
      </c>
      <c r="B299" s="1133">
        <f>'Wrksht. H, CWIP Desc. EKS'!B298</f>
        <v>107000</v>
      </c>
      <c r="C299" s="1198" t="str">
        <f>'Wrksht. H, CWIP Desc. EKS'!C298</f>
        <v>J19154801</v>
      </c>
      <c r="D299" s="1249">
        <v>1553242.31</v>
      </c>
      <c r="E299" s="1126">
        <f>'Wrksht. H, CWIP Desc. EKS'!D298</f>
        <v>0</v>
      </c>
      <c r="F299" s="1316">
        <v>43983</v>
      </c>
      <c r="G299" s="1316">
        <v>44559</v>
      </c>
      <c r="H299" s="1315">
        <v>0</v>
      </c>
      <c r="I299" s="1127">
        <f>IF((E299-H299)&lt;=1000000,-H299,E299-H299)</f>
        <v>0</v>
      </c>
    </row>
    <row r="300" spans="1:11">
      <c r="A300" s="757">
        <f t="shared" si="17"/>
        <v>289</v>
      </c>
      <c r="B300" s="1133">
        <f>'Wrksht. H, CWIP Desc. EKS'!B299</f>
        <v>107000</v>
      </c>
      <c r="C300" s="1198" t="str">
        <f>'Wrksht. H, CWIP Desc. EKS'!C299</f>
        <v>J19230301</v>
      </c>
      <c r="D300" s="1249">
        <v>2132657.11</v>
      </c>
      <c r="E300" s="1126">
        <f>'Wrksht. H, CWIP Desc. EKS'!D299</f>
        <v>0</v>
      </c>
      <c r="F300" s="1316">
        <v>43983</v>
      </c>
      <c r="G300" s="1316">
        <v>44258</v>
      </c>
      <c r="H300" s="1315">
        <v>0</v>
      </c>
      <c r="I300" s="1127">
        <f>IF((E300-H300)&lt;=1000000,-H300,E300-H300)</f>
        <v>0</v>
      </c>
    </row>
    <row r="301" spans="1:11">
      <c r="A301" s="757">
        <f t="shared" si="17"/>
        <v>290</v>
      </c>
      <c r="B301" s="1133">
        <f>'Wrksht. H, CWIP Desc. EKS'!B300</f>
        <v>107000</v>
      </c>
      <c r="C301" s="1198" t="str">
        <f>'Wrksht. H, CWIP Desc. EKS'!C300</f>
        <v>08400 501476</v>
      </c>
      <c r="D301" s="1249">
        <v>1515774.02</v>
      </c>
      <c r="E301" s="1126">
        <f>'Wrksht. H, CWIP Desc. EKS'!D300</f>
        <v>0</v>
      </c>
      <c r="F301" s="1316">
        <v>43983</v>
      </c>
      <c r="G301" s="1316">
        <v>45056</v>
      </c>
      <c r="H301" s="1315">
        <v>0</v>
      </c>
      <c r="I301" s="1127">
        <f>IF((E301-H301)&lt;=1000000,-H301,E301-H301)</f>
        <v>0</v>
      </c>
      <c r="J301" s="1462"/>
    </row>
    <row r="302" spans="1:11">
      <c r="A302" s="757">
        <f t="shared" si="17"/>
        <v>291</v>
      </c>
      <c r="B302" s="1133">
        <f>'Wrksht. H, CWIP Desc. EKS'!B301</f>
        <v>107000</v>
      </c>
      <c r="C302" s="1198" t="str">
        <f>'Wrksht. H, CWIP Desc. EKS'!C301</f>
        <v>08400 501580</v>
      </c>
      <c r="D302" s="1249">
        <v>1547424.79</v>
      </c>
      <c r="E302" s="1126">
        <f>'Wrksht. H, CWIP Desc. EKS'!D301</f>
        <v>0</v>
      </c>
      <c r="F302" s="1316">
        <v>43983</v>
      </c>
      <c r="G302" s="1316">
        <v>44323</v>
      </c>
      <c r="H302" s="1315">
        <v>0</v>
      </c>
      <c r="I302" s="1127">
        <f>IF((E302-H302)&lt;=1000000,-H302,E302-H302)</f>
        <v>0</v>
      </c>
    </row>
    <row r="303" spans="1:11">
      <c r="A303" s="757">
        <f t="shared" si="17"/>
        <v>292</v>
      </c>
      <c r="B303" s="1133">
        <f>'Wrksht. H, CWIP Desc. EKS'!B302</f>
        <v>107000</v>
      </c>
      <c r="C303" s="1198" t="str">
        <f>'Wrksht. H, CWIP Desc. EKS'!C302</f>
        <v>10003073</v>
      </c>
      <c r="D303" s="1249">
        <v>4727448.88</v>
      </c>
      <c r="E303" s="1126">
        <f>'Wrksht. H, CWIP Desc. EKS'!D302</f>
        <v>0</v>
      </c>
      <c r="F303" s="1316">
        <v>44348</v>
      </c>
      <c r="G303" s="1316">
        <v>44348</v>
      </c>
      <c r="H303" s="1315">
        <v>0</v>
      </c>
      <c r="I303" s="1127">
        <f t="shared" ref="I303:I309" si="18">IF((E303-H303)&lt;=1000000,-H303,E303-H303)</f>
        <v>0</v>
      </c>
    </row>
    <row r="304" spans="1:11">
      <c r="A304" s="757">
        <f t="shared" si="17"/>
        <v>293</v>
      </c>
      <c r="B304" s="1133">
        <f>'Wrksht. H, CWIP Desc. EKS'!B303</f>
        <v>107000</v>
      </c>
      <c r="C304" s="1198" t="str">
        <f>'Wrksht. H, CWIP Desc. EKS'!C303</f>
        <v>W000014593</v>
      </c>
      <c r="D304" s="1249">
        <v>4169226.37</v>
      </c>
      <c r="E304" s="1126">
        <f>'Wrksht. H, CWIP Desc. EKS'!D303</f>
        <v>0</v>
      </c>
      <c r="F304" s="1316">
        <v>44348</v>
      </c>
      <c r="G304" s="1316">
        <v>44378</v>
      </c>
      <c r="H304" s="1315">
        <v>0</v>
      </c>
      <c r="I304" s="1127">
        <f t="shared" si="18"/>
        <v>0</v>
      </c>
    </row>
    <row r="305" spans="1:10">
      <c r="A305" s="757">
        <f t="shared" si="17"/>
        <v>294</v>
      </c>
      <c r="B305" s="1133">
        <f>'Wrksht. H, CWIP Desc. EKS'!B304</f>
        <v>107000</v>
      </c>
      <c r="C305" s="1198" t="str">
        <f>'Wrksht. H, CWIP Desc. EKS'!C304</f>
        <v>W000501639</v>
      </c>
      <c r="D305" s="1249">
        <v>2915081.45</v>
      </c>
      <c r="E305" s="1126">
        <f>'Wrksht. H, CWIP Desc. EKS'!D304</f>
        <v>2470200.65</v>
      </c>
      <c r="F305" s="1316">
        <v>44348</v>
      </c>
      <c r="G305" s="1316"/>
      <c r="H305" s="1315">
        <v>67652.299999999988</v>
      </c>
      <c r="I305" s="1127">
        <f t="shared" si="18"/>
        <v>2402548.35</v>
      </c>
      <c r="J305" s="1462"/>
    </row>
    <row r="306" spans="1:10">
      <c r="A306" s="757">
        <f t="shared" si="17"/>
        <v>295</v>
      </c>
      <c r="B306" s="1133">
        <f>'Wrksht. H, CWIP Desc. EKS'!B305</f>
        <v>107000</v>
      </c>
      <c r="C306" s="1198" t="str">
        <f>'Wrksht. H, CWIP Desc. EKS'!C305</f>
        <v>10002598</v>
      </c>
      <c r="D306" s="1249">
        <v>5622276.4000000004</v>
      </c>
      <c r="E306" s="1126">
        <f>'Wrksht. H, CWIP Desc. EKS'!D305</f>
        <v>0</v>
      </c>
      <c r="F306" s="1316">
        <v>44348</v>
      </c>
      <c r="G306" s="1316">
        <v>44514</v>
      </c>
      <c r="H306" s="1315">
        <v>0</v>
      </c>
      <c r="I306" s="1127">
        <f t="shared" si="18"/>
        <v>0</v>
      </c>
    </row>
    <row r="307" spans="1:10">
      <c r="A307" s="757">
        <f t="shared" si="17"/>
        <v>296</v>
      </c>
      <c r="B307" s="1133">
        <f>'Wrksht. H, CWIP Desc. EKS'!B306</f>
        <v>107000</v>
      </c>
      <c r="C307" s="1198" t="str">
        <f>'Wrksht. H, CWIP Desc. EKS'!C306</f>
        <v>10002770</v>
      </c>
      <c r="D307" s="1249">
        <v>2244799.48</v>
      </c>
      <c r="E307" s="1126">
        <f>'Wrksht. H, CWIP Desc. EKS'!D306</f>
        <v>0</v>
      </c>
      <c r="F307" s="1316">
        <v>44348</v>
      </c>
      <c r="G307" s="1316">
        <v>44432</v>
      </c>
      <c r="H307" s="1315">
        <v>0</v>
      </c>
      <c r="I307" s="1127">
        <f t="shared" si="18"/>
        <v>0</v>
      </c>
    </row>
    <row r="308" spans="1:10">
      <c r="A308" s="757">
        <f t="shared" si="17"/>
        <v>297</v>
      </c>
      <c r="B308" s="1133">
        <f>'Wrksht. H, CWIP Desc. EKS'!B307</f>
        <v>107000</v>
      </c>
      <c r="C308" s="1198" t="str">
        <f>'Wrksht. H, CWIP Desc. EKS'!C307</f>
        <v>10003074</v>
      </c>
      <c r="D308" s="1249">
        <v>1464844.92</v>
      </c>
      <c r="E308" s="1126">
        <f>'Wrksht. H, CWIP Desc. EKS'!D307</f>
        <v>0</v>
      </c>
      <c r="F308" s="1316">
        <v>44348</v>
      </c>
      <c r="G308" s="1316">
        <v>44348</v>
      </c>
      <c r="H308" s="1315">
        <v>0</v>
      </c>
      <c r="I308" s="1127">
        <f t="shared" si="18"/>
        <v>0</v>
      </c>
    </row>
    <row r="309" spans="1:10">
      <c r="A309" s="757">
        <f t="shared" si="17"/>
        <v>298</v>
      </c>
      <c r="B309" s="1133">
        <f>'Wrksht. H, CWIP Desc. EKS'!B308</f>
        <v>107000</v>
      </c>
      <c r="C309" s="1198" t="str">
        <f>'Wrksht. H, CWIP Desc. EKS'!C308</f>
        <v>10100105</v>
      </c>
      <c r="D309" s="1249">
        <v>1065616.2</v>
      </c>
      <c r="E309" s="1126">
        <f>'Wrksht. H, CWIP Desc. EKS'!D308</f>
        <v>0</v>
      </c>
      <c r="F309" s="1316">
        <v>44348</v>
      </c>
      <c r="G309" s="1316">
        <v>44332</v>
      </c>
      <c r="H309" s="1315">
        <v>0</v>
      </c>
      <c r="I309" s="1127">
        <f t="shared" si="18"/>
        <v>0</v>
      </c>
    </row>
    <row r="310" spans="1:10">
      <c r="A310" s="757">
        <f t="shared" si="17"/>
        <v>299</v>
      </c>
      <c r="B310" s="1133">
        <f>'Wrksht. H, CWIP Desc. EKS'!B309</f>
        <v>107000</v>
      </c>
      <c r="C310" s="1198" t="str">
        <f>'Wrksht. H, CWIP Desc. EKS'!C309</f>
        <v>J19306101</v>
      </c>
      <c r="D310" s="1249">
        <v>1609006.42</v>
      </c>
      <c r="E310" s="1126">
        <f>'Wrksht. H, CWIP Desc. EKS'!D309</f>
        <v>0</v>
      </c>
      <c r="F310" s="1316">
        <v>44348</v>
      </c>
      <c r="G310" s="1316">
        <v>44258</v>
      </c>
      <c r="H310" s="1315">
        <v>0</v>
      </c>
      <c r="I310" s="1127">
        <f>IF((E310-H310)&lt;=1000000,-H310,E310-H310)</f>
        <v>0</v>
      </c>
    </row>
    <row r="311" spans="1:10">
      <c r="A311" s="757">
        <f t="shared" si="17"/>
        <v>300</v>
      </c>
      <c r="B311" s="1133">
        <f>'Wrksht. H, CWIP Desc. EKS'!B310</f>
        <v>107000</v>
      </c>
      <c r="C311" s="1198" t="str">
        <f>'Wrksht. H, CWIP Desc. EKS'!C310</f>
        <v>W000020292</v>
      </c>
      <c r="D311" s="1249">
        <v>8788576.0899999999</v>
      </c>
      <c r="E311" s="1126">
        <f>'Wrksht. H, CWIP Desc. EKS'!D310</f>
        <v>0</v>
      </c>
      <c r="F311" s="1316">
        <v>44348</v>
      </c>
      <c r="G311" s="1316">
        <v>44901</v>
      </c>
      <c r="H311" s="1315">
        <v>0</v>
      </c>
      <c r="I311" s="1127">
        <f>IF((E311-H311)&lt;=1000000,-H311,E311-H311)</f>
        <v>0</v>
      </c>
    </row>
    <row r="312" spans="1:10">
      <c r="A312" s="757">
        <f>A311+1</f>
        <v>301</v>
      </c>
      <c r="B312" s="1319">
        <f>'Wrksht. H, CWIP Desc. EKS'!B311</f>
        <v>107000</v>
      </c>
      <c r="C312" s="1132">
        <f>'Wrksht. H, CWIP Desc. EKS'!C311</f>
        <v>10003070</v>
      </c>
      <c r="D312" s="1561">
        <v>1522565.45</v>
      </c>
      <c r="E312" s="1318">
        <f>'Wrksht. H, CWIP Desc. EKS'!D311</f>
        <v>0</v>
      </c>
      <c r="F312" s="1316">
        <v>44713</v>
      </c>
      <c r="G312" s="1316">
        <v>44474</v>
      </c>
      <c r="H312" s="1605">
        <v>0</v>
      </c>
      <c r="I312" s="1317">
        <f t="shared" ref="I312:I345" si="19">IF((E312-H312)&lt;=1000000,-H312,E312-H312)</f>
        <v>0</v>
      </c>
    </row>
    <row r="313" spans="1:10">
      <c r="A313" s="757">
        <f>A312+1</f>
        <v>302</v>
      </c>
      <c r="B313" s="1319">
        <f>'Wrksht. H, CWIP Desc. EKS'!B312</f>
        <v>107000</v>
      </c>
      <c r="C313" s="1132">
        <f>'Wrksht. H, CWIP Desc. EKS'!C312</f>
        <v>10100131</v>
      </c>
      <c r="D313" s="1249">
        <v>1066549.6100000001</v>
      </c>
      <c r="E313" s="1318">
        <f>'Wrksht. H, CWIP Desc. EKS'!D312</f>
        <v>0</v>
      </c>
      <c r="F313" s="1316">
        <v>44713</v>
      </c>
      <c r="G313" s="1316">
        <v>44896</v>
      </c>
      <c r="H313" s="1605">
        <v>0</v>
      </c>
      <c r="I313" s="1317">
        <f t="shared" si="19"/>
        <v>0</v>
      </c>
    </row>
    <row r="314" spans="1:10">
      <c r="A314" s="757">
        <f t="shared" ref="A314:A345" si="20">A313+1</f>
        <v>303</v>
      </c>
      <c r="B314" s="1319">
        <f>'Wrksht. H, CWIP Desc. EKS'!B313</f>
        <v>107000</v>
      </c>
      <c r="C314" s="1132">
        <f>'Wrksht. H, CWIP Desc. EKS'!C313</f>
        <v>10100154</v>
      </c>
      <c r="D314" s="1249">
        <v>1023927.13</v>
      </c>
      <c r="E314" s="1318">
        <f>'Wrksht. H, CWIP Desc. EKS'!D313</f>
        <v>0</v>
      </c>
      <c r="F314" s="1316">
        <v>44713</v>
      </c>
      <c r="G314" s="1316">
        <v>44514</v>
      </c>
      <c r="H314" s="1605">
        <v>0</v>
      </c>
      <c r="I314" s="1317">
        <f t="shared" si="19"/>
        <v>0</v>
      </c>
    </row>
    <row r="315" spans="1:10">
      <c r="A315" s="757">
        <f t="shared" si="20"/>
        <v>304</v>
      </c>
      <c r="B315" s="1319">
        <f>'Wrksht. H, CWIP Desc. EKS'!B314</f>
        <v>107000</v>
      </c>
      <c r="C315" s="1132">
        <f>'Wrksht. H, CWIP Desc. EKS'!C314</f>
        <v>10100194</v>
      </c>
      <c r="D315" s="1249">
        <v>1557959.56</v>
      </c>
      <c r="E315" s="1318">
        <f>'Wrksht. H, CWIP Desc. EKS'!D314</f>
        <v>0</v>
      </c>
      <c r="F315" s="1316">
        <v>44713</v>
      </c>
      <c r="G315" s="1316">
        <v>44514</v>
      </c>
      <c r="H315" s="1605">
        <v>0</v>
      </c>
      <c r="I315" s="1317">
        <f t="shared" si="19"/>
        <v>0</v>
      </c>
    </row>
    <row r="316" spans="1:10">
      <c r="A316" s="757">
        <f t="shared" si="20"/>
        <v>305</v>
      </c>
      <c r="B316" s="1319">
        <f>'Wrksht. H, CWIP Desc. EKS'!B315</f>
        <v>107000</v>
      </c>
      <c r="C316" s="1132">
        <f>'Wrksht. H, CWIP Desc. EKS'!C315</f>
        <v>10100199</v>
      </c>
      <c r="D316" s="1249">
        <v>1141151.51</v>
      </c>
      <c r="E316" s="1318">
        <f>'Wrksht. H, CWIP Desc. EKS'!D315</f>
        <v>0</v>
      </c>
      <c r="F316" s="1316">
        <v>44713</v>
      </c>
      <c r="G316" s="1316">
        <v>44514</v>
      </c>
      <c r="H316" s="1605">
        <v>0</v>
      </c>
      <c r="I316" s="1317">
        <f t="shared" si="19"/>
        <v>0</v>
      </c>
    </row>
    <row r="317" spans="1:10">
      <c r="A317" s="757">
        <f t="shared" si="20"/>
        <v>306</v>
      </c>
      <c r="B317" s="1319">
        <f>'Wrksht. H, CWIP Desc. EKS'!B316</f>
        <v>107000</v>
      </c>
      <c r="C317" s="1132">
        <f>'Wrksht. H, CWIP Desc. EKS'!C316</f>
        <v>10100238</v>
      </c>
      <c r="D317" s="1249">
        <v>1066586.01</v>
      </c>
      <c r="E317" s="1318">
        <f>'Wrksht. H, CWIP Desc. EKS'!D316</f>
        <v>0</v>
      </c>
      <c r="F317" s="1316">
        <v>44713</v>
      </c>
      <c r="G317" s="1316">
        <v>44165</v>
      </c>
      <c r="H317" s="1605">
        <v>0</v>
      </c>
      <c r="I317" s="1317">
        <f t="shared" si="19"/>
        <v>0</v>
      </c>
    </row>
    <row r="318" spans="1:10">
      <c r="A318" s="757">
        <f t="shared" si="20"/>
        <v>307</v>
      </c>
      <c r="B318" s="1319">
        <f>'Wrksht. H, CWIP Desc. EKS'!B317</f>
        <v>107000</v>
      </c>
      <c r="C318" s="1132">
        <f>'Wrksht. H, CWIP Desc. EKS'!C317</f>
        <v>10100300</v>
      </c>
      <c r="D318" s="1249">
        <v>2086870.98</v>
      </c>
      <c r="E318" s="1318">
        <f>'Wrksht. H, CWIP Desc. EKS'!D317</f>
        <v>0</v>
      </c>
      <c r="F318" s="1316">
        <v>44713</v>
      </c>
      <c r="G318" s="1316">
        <v>44571</v>
      </c>
      <c r="H318" s="1605">
        <v>0</v>
      </c>
      <c r="I318" s="1317">
        <f t="shared" si="19"/>
        <v>0</v>
      </c>
    </row>
    <row r="319" spans="1:10">
      <c r="A319" s="757">
        <f t="shared" si="20"/>
        <v>308</v>
      </c>
      <c r="B319" s="1319">
        <f>'Wrksht. H, CWIP Desc. EKS'!B318</f>
        <v>107000</v>
      </c>
      <c r="C319" s="1132" t="str">
        <f>'Wrksht. H, CWIP Desc. EKS'!C318</f>
        <v>J192599011</v>
      </c>
      <c r="D319" s="1249">
        <v>1285283.81</v>
      </c>
      <c r="E319" s="1318">
        <f>'Wrksht. H, CWIP Desc. EKS'!D318</f>
        <v>1352147.27</v>
      </c>
      <c r="F319" s="1316">
        <v>44713</v>
      </c>
      <c r="G319" s="1533"/>
      <c r="H319" s="1605">
        <v>39404.700000000004</v>
      </c>
      <c r="I319" s="1317">
        <f t="shared" si="19"/>
        <v>1312742.57</v>
      </c>
    </row>
    <row r="320" spans="1:10">
      <c r="A320" s="757">
        <f t="shared" si="20"/>
        <v>309</v>
      </c>
      <c r="B320" s="1319">
        <f>'Wrksht. H, CWIP Desc. EKS'!B319</f>
        <v>107000</v>
      </c>
      <c r="C320" s="1132" t="str">
        <f>'Wrksht. H, CWIP Desc. EKS'!C319</f>
        <v>W000501767</v>
      </c>
      <c r="D320" s="1249">
        <v>2720471.75</v>
      </c>
      <c r="E320" s="1318">
        <f>'Wrksht. H, CWIP Desc. EKS'!D319</f>
        <v>0</v>
      </c>
      <c r="F320" s="1316">
        <v>44713</v>
      </c>
      <c r="G320" s="1316">
        <v>45089</v>
      </c>
      <c r="H320" s="1605">
        <v>0</v>
      </c>
      <c r="I320" s="1317">
        <f t="shared" si="19"/>
        <v>0</v>
      </c>
    </row>
    <row r="321" spans="1:9">
      <c r="A321" s="757">
        <f t="shared" si="20"/>
        <v>310</v>
      </c>
      <c r="B321" s="1319">
        <f>'Wrksht. H, CWIP Desc. EKS'!B320</f>
        <v>107000</v>
      </c>
      <c r="C321" s="1132" t="str">
        <f>'Wrksht. H, CWIP Desc. EKS'!C320</f>
        <v>W000501807</v>
      </c>
      <c r="D321" s="1249">
        <v>2081099.14</v>
      </c>
      <c r="E321" s="1318">
        <f>'Wrksht. H, CWIP Desc. EKS'!D320</f>
        <v>2188855.52</v>
      </c>
      <c r="F321" s="1316">
        <v>44713</v>
      </c>
      <c r="G321" s="1533"/>
      <c r="H321" s="1605">
        <v>46924.7</v>
      </c>
      <c r="I321" s="1317">
        <f t="shared" si="19"/>
        <v>2141930.8199999998</v>
      </c>
    </row>
    <row r="322" spans="1:9">
      <c r="A322" s="757">
        <f>A321+1</f>
        <v>311</v>
      </c>
      <c r="B322" s="1319" t="str">
        <f>'Wrksht. H, CWIP Desc. EKS'!B321</f>
        <v>107000</v>
      </c>
      <c r="C322" s="1132" t="str">
        <f>'Wrksht. H, CWIP Desc. EKS'!C321</f>
        <v>10100420</v>
      </c>
      <c r="D322" s="1249">
        <v>1051233.6000000001</v>
      </c>
      <c r="E322" s="1318">
        <f>'Wrksht. H, CWIP Desc. EKS'!D321</f>
        <v>0</v>
      </c>
      <c r="F322" s="1316">
        <v>45078</v>
      </c>
      <c r="G322" s="1316">
        <v>45052</v>
      </c>
      <c r="H322" s="1605">
        <v>0</v>
      </c>
      <c r="I322" s="1317">
        <f t="shared" si="19"/>
        <v>0</v>
      </c>
    </row>
    <row r="323" spans="1:9">
      <c r="A323" s="757">
        <f t="shared" si="20"/>
        <v>312</v>
      </c>
      <c r="B323" s="1319" t="str">
        <f>'Wrksht. H, CWIP Desc. EKS'!B322</f>
        <v>107000</v>
      </c>
      <c r="C323" s="1132">
        <f>'Wrksht. H, CWIP Desc. EKS'!C322</f>
        <v>10100724</v>
      </c>
      <c r="D323" s="1249">
        <v>2816701.72</v>
      </c>
      <c r="E323" s="1318">
        <f>'Wrksht. H, CWIP Desc. EKS'!D322</f>
        <v>0</v>
      </c>
      <c r="F323" s="1316">
        <v>45078</v>
      </c>
      <c r="G323" s="1534">
        <v>44893</v>
      </c>
      <c r="H323" s="1605">
        <v>0</v>
      </c>
      <c r="I323" s="1317">
        <f t="shared" si="19"/>
        <v>0</v>
      </c>
    </row>
    <row r="324" spans="1:9">
      <c r="A324" s="757">
        <f t="shared" si="20"/>
        <v>313</v>
      </c>
      <c r="B324" s="1319" t="str">
        <f>'Wrksht. H, CWIP Desc. EKS'!B323</f>
        <v>107000</v>
      </c>
      <c r="C324" s="1132" t="str">
        <f>'Wrksht. H, CWIP Desc. EKS'!C323</f>
        <v>J19259701</v>
      </c>
      <c r="D324" s="1249">
        <v>2008100.53</v>
      </c>
      <c r="E324" s="1318">
        <f>'Wrksht. H, CWIP Desc. EKS'!D323</f>
        <v>0</v>
      </c>
      <c r="F324" s="1316">
        <v>45078</v>
      </c>
      <c r="G324" s="1316">
        <v>44926</v>
      </c>
      <c r="H324" s="1605">
        <v>0</v>
      </c>
      <c r="I324" s="1317">
        <f t="shared" si="19"/>
        <v>0</v>
      </c>
    </row>
    <row r="325" spans="1:9">
      <c r="A325" s="757">
        <f t="shared" si="20"/>
        <v>314</v>
      </c>
      <c r="B325" s="1319" t="str">
        <f>'Wrksht. H, CWIP Desc. EKS'!B324</f>
        <v>107000</v>
      </c>
      <c r="C325" s="1132" t="str">
        <f>'Wrksht. H, CWIP Desc. EKS'!C324</f>
        <v>J19442701</v>
      </c>
      <c r="D325" s="1249">
        <v>1349163.11</v>
      </c>
      <c r="E325" s="1318">
        <f>'Wrksht. H, CWIP Desc. EKS'!D324</f>
        <v>2153976.25</v>
      </c>
      <c r="F325" s="1316">
        <v>45078</v>
      </c>
      <c r="G325" s="1533"/>
      <c r="H325" s="1605">
        <v>42667.200000000004</v>
      </c>
      <c r="I325" s="1317">
        <f t="shared" si="19"/>
        <v>2111309.0499999998</v>
      </c>
    </row>
    <row r="326" spans="1:9">
      <c r="A326" s="757">
        <f t="shared" si="20"/>
        <v>315</v>
      </c>
      <c r="B326" s="1319" t="str">
        <f>'Wrksht. H, CWIP Desc. EKS'!B325</f>
        <v>107000</v>
      </c>
      <c r="C326" s="1132" t="str">
        <f>'Wrksht. H, CWIP Desc. EKS'!C325</f>
        <v>JRJ0017501</v>
      </c>
      <c r="D326" s="1249">
        <v>1776777.04</v>
      </c>
      <c r="E326" s="1318">
        <f>'Wrksht. H, CWIP Desc. EKS'!D325</f>
        <v>25429447.149999999</v>
      </c>
      <c r="F326" s="1316">
        <v>45078</v>
      </c>
      <c r="G326" s="1316">
        <v>45297</v>
      </c>
      <c r="H326" s="1605">
        <v>0</v>
      </c>
      <c r="I326" s="1317">
        <f t="shared" si="19"/>
        <v>25429447.149999999</v>
      </c>
    </row>
    <row r="327" spans="1:9">
      <c r="A327" s="757">
        <f t="shared" si="20"/>
        <v>316</v>
      </c>
      <c r="B327" s="1319" t="str">
        <f>'Wrksht. H, CWIP Desc. EKS'!B326</f>
        <v>107000</v>
      </c>
      <c r="C327" s="1132" t="str">
        <f>'Wrksht. H, CWIP Desc. EKS'!C326</f>
        <v>W000015000</v>
      </c>
      <c r="D327" s="1249">
        <v>1418493.44</v>
      </c>
      <c r="E327" s="1318">
        <f>'Wrksht. H, CWIP Desc. EKS'!D326</f>
        <v>3694245.48</v>
      </c>
      <c r="F327" s="1316">
        <v>45078</v>
      </c>
      <c r="G327" s="1533"/>
      <c r="H327" s="1605">
        <v>22429.8</v>
      </c>
      <c r="I327" s="1317">
        <f t="shared" si="19"/>
        <v>3671815.68</v>
      </c>
    </row>
    <row r="328" spans="1:9">
      <c r="A328" s="757">
        <f>A327+1</f>
        <v>317</v>
      </c>
      <c r="B328" s="1319" t="str">
        <f>'Wrksht. H, CWIP Desc. EKS'!B327</f>
        <v>107000</v>
      </c>
      <c r="C328" s="1132" t="str">
        <f>'Wrksht. H, CWIP Desc. EKS'!C327</f>
        <v>W000020548</v>
      </c>
      <c r="D328" s="1249">
        <v>1295066.18</v>
      </c>
      <c r="E328" s="1318">
        <f>'Wrksht. H, CWIP Desc. EKS'!D327</f>
        <v>1371224.81</v>
      </c>
      <c r="F328" s="1316">
        <v>45078</v>
      </c>
      <c r="G328" s="1533"/>
      <c r="H328" s="1605">
        <v>20478.3</v>
      </c>
      <c r="I328" s="1317">
        <f t="shared" si="19"/>
        <v>1350746.51</v>
      </c>
    </row>
    <row r="329" spans="1:9">
      <c r="A329" s="757">
        <f>A328+1</f>
        <v>318</v>
      </c>
      <c r="B329" s="1319" t="str">
        <f>'Wrksht. H, CWIP Desc. EKS'!B328</f>
        <v>107000</v>
      </c>
      <c r="C329" s="1132" t="str">
        <f>'Wrksht. H, CWIP Desc. EKS'!C328</f>
        <v>W000501545</v>
      </c>
      <c r="D329" s="1249">
        <v>1683725.06</v>
      </c>
      <c r="E329" s="1318">
        <f>'Wrksht. H, CWIP Desc. EKS'!D328</f>
        <v>117608.62</v>
      </c>
      <c r="F329" s="1316">
        <v>45078</v>
      </c>
      <c r="G329" s="1533"/>
      <c r="H329" s="1605">
        <v>26623.800000000003</v>
      </c>
      <c r="I329" s="1317">
        <f t="shared" si="19"/>
        <v>-26623.800000000003</v>
      </c>
    </row>
    <row r="330" spans="1:9">
      <c r="A330" s="757">
        <f t="shared" si="20"/>
        <v>319</v>
      </c>
      <c r="B330" s="1319" t="str">
        <f>'Wrksht. H, CWIP Desc. EKS'!B329</f>
        <v>107000</v>
      </c>
      <c r="C330" s="1132" t="str">
        <f>'Wrksht. H, CWIP Desc. EKS'!C329</f>
        <v>W000501809</v>
      </c>
      <c r="D330" s="1249">
        <v>1248579.32</v>
      </c>
      <c r="E330" s="1318">
        <f>'Wrksht. H, CWIP Desc. EKS'!D329</f>
        <v>0</v>
      </c>
      <c r="F330" s="1316">
        <v>45078</v>
      </c>
      <c r="G330" s="1316">
        <v>45065</v>
      </c>
      <c r="H330" s="1605">
        <v>0</v>
      </c>
      <c r="I330" s="1317">
        <f t="shared" si="19"/>
        <v>0</v>
      </c>
    </row>
    <row r="331" spans="1:9">
      <c r="A331" s="757">
        <f t="shared" si="20"/>
        <v>320</v>
      </c>
      <c r="B331" s="1319" t="str">
        <f>'Wrksht. H, CWIP Desc. EKS'!B330</f>
        <v>107000</v>
      </c>
      <c r="C331" s="1132" t="str">
        <f>'Wrksht. H, CWIP Desc. EKS'!C330</f>
        <v>W000501973</v>
      </c>
      <c r="D331" s="1249">
        <v>1692869.83</v>
      </c>
      <c r="E331" s="1318">
        <f>'Wrksht. H, CWIP Desc. EKS'!D330</f>
        <v>0</v>
      </c>
      <c r="F331" s="1316">
        <v>45078</v>
      </c>
      <c r="G331" s="1316">
        <v>45048</v>
      </c>
      <c r="H331" s="1605">
        <v>0</v>
      </c>
      <c r="I331" s="1317">
        <f t="shared" si="19"/>
        <v>0</v>
      </c>
    </row>
    <row r="332" spans="1:9" ht="13.8" thickBot="1">
      <c r="A332" s="1542">
        <f t="shared" si="20"/>
        <v>321</v>
      </c>
      <c r="B332" s="1557" t="str">
        <f>'Wrksht. H, CWIP Desc. EKS'!B331</f>
        <v>107000</v>
      </c>
      <c r="C332" s="1555" t="str">
        <f>'Wrksht. H, CWIP Desc. EKS'!C331</f>
        <v>W000501974</v>
      </c>
      <c r="D332" s="1558">
        <v>1305628.5</v>
      </c>
      <c r="E332" s="1559">
        <f>'Wrksht. H, CWIP Desc. EKS'!D331</f>
        <v>0</v>
      </c>
      <c r="F332" s="1547">
        <v>45078</v>
      </c>
      <c r="G332" s="1547">
        <v>45062</v>
      </c>
      <c r="H332" s="1606">
        <v>0</v>
      </c>
      <c r="I332" s="1560">
        <f t="shared" si="19"/>
        <v>0</v>
      </c>
    </row>
    <row r="333" spans="1:9" s="1540" customFormat="1" ht="13.8" thickTop="1">
      <c r="A333" s="1179">
        <f t="shared" si="20"/>
        <v>322</v>
      </c>
      <c r="B333" s="1535" t="str">
        <f>'Wrksht. H, CWIP Desc. EKS'!B332</f>
        <v>107000</v>
      </c>
      <c r="C333" s="1536" t="str">
        <f>'Wrksht. H, CWIP Desc. EKS'!C332</f>
        <v>10100540</v>
      </c>
      <c r="D333" s="1179"/>
      <c r="E333" s="1537">
        <v>1070822.8700000001</v>
      </c>
      <c r="F333" s="1179"/>
      <c r="G333" s="1541">
        <v>45265</v>
      </c>
      <c r="H333" s="1538"/>
      <c r="I333" s="1539">
        <f t="shared" si="19"/>
        <v>1070822.8700000001</v>
      </c>
    </row>
    <row r="334" spans="1:9" s="1540" customFormat="1">
      <c r="A334" s="1179">
        <f t="shared" si="20"/>
        <v>323</v>
      </c>
      <c r="B334" s="1535" t="str">
        <f>'Wrksht. H, CWIP Desc. EKS'!B333</f>
        <v>107000</v>
      </c>
      <c r="C334" s="1536" t="str">
        <f>'Wrksht. H, CWIP Desc. EKS'!C333</f>
        <v>10100705</v>
      </c>
      <c r="D334" s="1179"/>
      <c r="E334" s="1537">
        <v>4709415.3</v>
      </c>
      <c r="F334" s="1179"/>
      <c r="G334" s="1541">
        <v>45265</v>
      </c>
      <c r="H334" s="1538"/>
      <c r="I334" s="1539">
        <f t="shared" si="19"/>
        <v>4709415.3</v>
      </c>
    </row>
    <row r="335" spans="1:9" s="1540" customFormat="1">
      <c r="A335" s="1179">
        <f t="shared" si="20"/>
        <v>324</v>
      </c>
      <c r="B335" s="1535" t="str">
        <f>'Wrksht. H, CWIP Desc. EKS'!B334</f>
        <v>107000</v>
      </c>
      <c r="C335" s="1536" t="str">
        <f>'Wrksht. H, CWIP Desc. EKS'!C334</f>
        <v>10100773</v>
      </c>
      <c r="D335" s="1179"/>
      <c r="E335" s="1537">
        <v>1526765.56</v>
      </c>
      <c r="F335" s="1179"/>
      <c r="G335" s="1541">
        <v>45265</v>
      </c>
      <c r="H335" s="1538"/>
      <c r="I335" s="1539">
        <f t="shared" si="19"/>
        <v>1526765.56</v>
      </c>
    </row>
    <row r="336" spans="1:9" s="1540" customFormat="1">
      <c r="A336" s="1179">
        <f t="shared" si="20"/>
        <v>325</v>
      </c>
      <c r="B336" s="1535" t="str">
        <f>'Wrksht. H, CWIP Desc. EKS'!B335</f>
        <v>107000</v>
      </c>
      <c r="C336" s="1536" t="str">
        <f>'Wrksht. H, CWIP Desc. EKS'!C335</f>
        <v>10100863</v>
      </c>
      <c r="D336" s="1179"/>
      <c r="E336" s="1537">
        <v>1050649.1100000001</v>
      </c>
      <c r="F336" s="1179"/>
      <c r="G336" s="1179"/>
      <c r="H336" s="1538"/>
      <c r="I336" s="1539">
        <f t="shared" si="19"/>
        <v>1050649.1100000001</v>
      </c>
    </row>
    <row r="337" spans="1:9" s="1540" customFormat="1">
      <c r="A337" s="1179">
        <f t="shared" si="20"/>
        <v>326</v>
      </c>
      <c r="B337" s="1535" t="str">
        <f>'Wrksht. H, CWIP Desc. EKS'!B336</f>
        <v>107000</v>
      </c>
      <c r="C337" s="1536" t="str">
        <f>'Wrksht. H, CWIP Desc. EKS'!C336</f>
        <v>J19396201</v>
      </c>
      <c r="D337" s="1179"/>
      <c r="E337" s="1537">
        <v>1012801.14</v>
      </c>
      <c r="F337" s="1179"/>
      <c r="G337" s="1179"/>
      <c r="H337" s="1538"/>
      <c r="I337" s="1539">
        <f t="shared" si="19"/>
        <v>1012801.14</v>
      </c>
    </row>
    <row r="338" spans="1:9" s="1540" customFormat="1">
      <c r="A338" s="1179">
        <f t="shared" si="20"/>
        <v>327</v>
      </c>
      <c r="B338" s="1535" t="str">
        <f>'Wrksht. H, CWIP Desc. EKS'!B337</f>
        <v>107000</v>
      </c>
      <c r="C338" s="1536" t="str">
        <f>'Wrksht. H, CWIP Desc. EKS'!C337</f>
        <v>J19440101</v>
      </c>
      <c r="D338" s="1179"/>
      <c r="E338" s="1537">
        <v>1777883.6400000001</v>
      </c>
      <c r="F338" s="1179"/>
      <c r="G338" s="1179"/>
      <c r="H338" s="1538"/>
      <c r="I338" s="1539">
        <f t="shared" si="19"/>
        <v>1777883.6400000001</v>
      </c>
    </row>
    <row r="339" spans="1:9" s="1540" customFormat="1">
      <c r="A339" s="1179">
        <f t="shared" si="20"/>
        <v>328</v>
      </c>
      <c r="B339" s="1535" t="str">
        <f>'Wrksht. H, CWIP Desc. EKS'!B338</f>
        <v>107000</v>
      </c>
      <c r="C339" s="1536" t="str">
        <f>'Wrksht. H, CWIP Desc. EKS'!C338</f>
        <v>W000020384</v>
      </c>
      <c r="D339" s="1179"/>
      <c r="E339" s="1537">
        <v>8240386.9199999999</v>
      </c>
      <c r="F339" s="1179"/>
      <c r="G339" s="1179"/>
      <c r="H339" s="1538"/>
      <c r="I339" s="1539">
        <f t="shared" si="19"/>
        <v>8240386.9199999999</v>
      </c>
    </row>
    <row r="340" spans="1:9" s="1540" customFormat="1">
      <c r="A340" s="1179">
        <f t="shared" si="20"/>
        <v>329</v>
      </c>
      <c r="B340" s="1535" t="str">
        <f>'Wrksht. H, CWIP Desc. EKS'!B339</f>
        <v>107000</v>
      </c>
      <c r="C340" s="1536" t="str">
        <f>'Wrksht. H, CWIP Desc. EKS'!C339</f>
        <v>W000020633</v>
      </c>
      <c r="D340" s="1179"/>
      <c r="E340" s="1537">
        <v>2926956.3200000003</v>
      </c>
      <c r="F340" s="1179"/>
      <c r="G340" s="1179"/>
      <c r="H340" s="1538"/>
      <c r="I340" s="1539">
        <f t="shared" si="19"/>
        <v>2926956.3200000003</v>
      </c>
    </row>
    <row r="341" spans="1:9" s="1540" customFormat="1">
      <c r="A341" s="1179">
        <f t="shared" si="20"/>
        <v>330</v>
      </c>
      <c r="B341" s="1535" t="str">
        <f>'Wrksht. H, CWIP Desc. EKS'!B340</f>
        <v>107000</v>
      </c>
      <c r="C341" s="1536" t="str">
        <f>'Wrksht. H, CWIP Desc. EKS'!C340</f>
        <v>W000501679</v>
      </c>
      <c r="D341" s="1179"/>
      <c r="E341" s="1537">
        <v>1037566.12</v>
      </c>
      <c r="F341" s="1179"/>
      <c r="G341" s="1179"/>
      <c r="H341" s="1538"/>
      <c r="I341" s="1539">
        <f t="shared" si="19"/>
        <v>1037566.12</v>
      </c>
    </row>
    <row r="342" spans="1:9" s="1540" customFormat="1">
      <c r="A342" s="1179">
        <f t="shared" si="20"/>
        <v>331</v>
      </c>
      <c r="B342" s="1535" t="str">
        <f>'Wrksht. H, CWIP Desc. EKS'!B341</f>
        <v>107000</v>
      </c>
      <c r="C342" s="1536" t="str">
        <f>'Wrksht. H, CWIP Desc. EKS'!C341</f>
        <v>W000501815</v>
      </c>
      <c r="D342" s="1179"/>
      <c r="E342" s="1537">
        <v>1174993.3500000001</v>
      </c>
      <c r="F342" s="1179"/>
      <c r="G342" s="1179"/>
      <c r="H342" s="1538"/>
      <c r="I342" s="1539">
        <f t="shared" si="19"/>
        <v>1174993.3500000001</v>
      </c>
    </row>
    <row r="343" spans="1:9" s="1540" customFormat="1">
      <c r="A343" s="1179">
        <f t="shared" si="20"/>
        <v>332</v>
      </c>
      <c r="B343" s="1535" t="str">
        <f>'Wrksht. H, CWIP Desc. EKS'!B342</f>
        <v>107000</v>
      </c>
      <c r="C343" s="1536" t="str">
        <f>'Wrksht. H, CWIP Desc. EKS'!C342</f>
        <v>W000501823</v>
      </c>
      <c r="D343" s="1179"/>
      <c r="E343" s="1537">
        <v>2672177</v>
      </c>
      <c r="F343" s="1179"/>
      <c r="G343" s="1179"/>
      <c r="H343" s="1538"/>
      <c r="I343" s="1539">
        <f t="shared" si="19"/>
        <v>2672177</v>
      </c>
    </row>
    <row r="344" spans="1:9" s="1540" customFormat="1">
      <c r="A344" s="1179">
        <f t="shared" si="20"/>
        <v>333</v>
      </c>
      <c r="B344" s="1535" t="str">
        <f>'Wrksht. H, CWIP Desc. EKS'!B343</f>
        <v>107000</v>
      </c>
      <c r="C344" s="1536" t="str">
        <f>'Wrksht. H, CWIP Desc. EKS'!C343</f>
        <v>W000501976</v>
      </c>
      <c r="D344" s="1179"/>
      <c r="E344" s="1537">
        <v>1331799.2</v>
      </c>
      <c r="F344" s="1179"/>
      <c r="G344" s="1179"/>
      <c r="H344" s="1538"/>
      <c r="I344" s="1539">
        <f t="shared" si="19"/>
        <v>1331799.2</v>
      </c>
    </row>
    <row r="345" spans="1:9" s="1540" customFormat="1">
      <c r="A345" s="1179">
        <f t="shared" si="20"/>
        <v>334</v>
      </c>
      <c r="B345" s="1535" t="str">
        <f>'Wrksht. H, CWIP Desc. EKS'!B344</f>
        <v>107000</v>
      </c>
      <c r="C345" s="1536" t="str">
        <f>'Wrksht. H, CWIP Desc. EKS'!C344</f>
        <v>W000502025</v>
      </c>
      <c r="D345" s="1179"/>
      <c r="E345" s="1537">
        <v>1067938.33</v>
      </c>
      <c r="F345" s="1179"/>
      <c r="G345" s="1179"/>
      <c r="H345" s="1538"/>
      <c r="I345" s="1539">
        <f t="shared" si="19"/>
        <v>1067938.33</v>
      </c>
    </row>
    <row r="346" spans="1:9" ht="16.95" customHeight="1">
      <c r="A346" s="239"/>
      <c r="B346" s="412"/>
      <c r="D346" s="131"/>
      <c r="E346" s="131"/>
      <c r="F346" s="131"/>
      <c r="G346" s="131"/>
      <c r="H346" s="1190"/>
      <c r="I346" s="407"/>
    </row>
    <row r="347" spans="1:9" ht="12" customHeight="1">
      <c r="B347" s="116" t="s">
        <v>1571</v>
      </c>
      <c r="H347" s="1191"/>
    </row>
    <row r="348" spans="1:9">
      <c r="B348" s="117">
        <v>1</v>
      </c>
      <c r="C348" s="9" t="s">
        <v>407</v>
      </c>
    </row>
    <row r="349" spans="1:9" ht="5.4" customHeight="1">
      <c r="A349" s="50"/>
      <c r="B349" s="50"/>
      <c r="C349" s="51"/>
      <c r="D349" s="51"/>
      <c r="E349" s="51"/>
      <c r="F349" s="51"/>
      <c r="G349" s="51"/>
      <c r="H349" s="51"/>
      <c r="I349" s="51"/>
    </row>
    <row r="350" spans="1:9">
      <c r="A350" s="50"/>
      <c r="B350" s="117">
        <v>2</v>
      </c>
      <c r="C350" s="9" t="s">
        <v>2270</v>
      </c>
      <c r="F350" s="51"/>
      <c r="G350" s="51"/>
      <c r="H350" s="51"/>
      <c r="I350" s="51"/>
    </row>
    <row r="351" spans="1:9">
      <c r="A351" s="50"/>
      <c r="B351" s="50"/>
      <c r="C351" s="51"/>
      <c r="D351" s="51"/>
      <c r="E351" s="51"/>
      <c r="F351" s="51"/>
      <c r="G351" s="51"/>
      <c r="H351" s="51"/>
      <c r="I351" s="51"/>
    </row>
    <row r="352" spans="1:9">
      <c r="A352" s="50"/>
      <c r="B352" s="50"/>
      <c r="C352" s="51"/>
      <c r="D352" s="51"/>
      <c r="E352" s="51"/>
      <c r="F352" s="51"/>
      <c r="G352" s="51"/>
      <c r="H352" s="51"/>
      <c r="I352" s="51"/>
    </row>
    <row r="353" spans="1:9">
      <c r="A353" s="50"/>
      <c r="B353" s="50"/>
      <c r="C353" s="51"/>
      <c r="D353" s="51"/>
      <c r="E353" s="51"/>
      <c r="F353" s="51"/>
      <c r="G353" s="51"/>
      <c r="H353" s="51"/>
      <c r="I353" s="51"/>
    </row>
    <row r="354" spans="1:9">
      <c r="A354" s="50"/>
      <c r="B354" s="50"/>
      <c r="C354" s="51"/>
      <c r="D354" s="51"/>
      <c r="E354" s="51"/>
      <c r="F354" s="51"/>
      <c r="G354" s="51"/>
      <c r="H354" s="51"/>
      <c r="I354" s="51"/>
    </row>
    <row r="355" spans="1:9">
      <c r="A355" s="50"/>
      <c r="B355" s="50"/>
      <c r="C355" s="51"/>
      <c r="D355" s="51"/>
      <c r="E355" s="51"/>
      <c r="F355" s="51"/>
      <c r="G355" s="51"/>
      <c r="H355" s="51"/>
      <c r="I355" s="51"/>
    </row>
    <row r="356" spans="1:9">
      <c r="A356" s="50"/>
      <c r="B356" s="50"/>
      <c r="C356" s="51"/>
      <c r="D356" s="51"/>
      <c r="E356" s="51"/>
      <c r="F356" s="51"/>
      <c r="G356" s="51"/>
      <c r="H356" s="51"/>
      <c r="I356" s="51"/>
    </row>
    <row r="357" spans="1:9">
      <c r="A357" s="50"/>
      <c r="B357" s="50"/>
      <c r="C357" s="51"/>
      <c r="D357" s="51"/>
      <c r="E357" s="51"/>
      <c r="F357" s="51"/>
      <c r="G357" s="51"/>
      <c r="H357" s="51"/>
      <c r="I357" s="51"/>
    </row>
    <row r="358" spans="1:9">
      <c r="A358" s="50"/>
      <c r="B358" s="50"/>
      <c r="C358" s="51"/>
      <c r="D358" s="51"/>
      <c r="E358" s="51"/>
      <c r="F358" s="51"/>
      <c r="G358" s="51"/>
      <c r="H358" s="51"/>
      <c r="I358" s="51"/>
    </row>
    <row r="359" spans="1:9">
      <c r="A359" s="50"/>
      <c r="B359" s="50"/>
      <c r="C359" s="51"/>
      <c r="D359" s="51"/>
      <c r="E359" s="51"/>
      <c r="F359" s="51"/>
      <c r="G359" s="51"/>
      <c r="H359" s="51"/>
      <c r="I359" s="51"/>
    </row>
    <row r="360" spans="1:9">
      <c r="A360" s="50"/>
      <c r="B360" s="50"/>
      <c r="C360" s="51"/>
      <c r="D360" s="51"/>
      <c r="E360" s="51"/>
      <c r="F360" s="51"/>
      <c r="G360" s="51"/>
      <c r="H360" s="51"/>
      <c r="I360" s="51"/>
    </row>
    <row r="361" spans="1:9">
      <c r="A361" s="50"/>
      <c r="B361" s="50"/>
      <c r="C361" s="51"/>
      <c r="D361" s="51"/>
      <c r="E361" s="51"/>
      <c r="F361" s="51"/>
      <c r="G361" s="51"/>
      <c r="H361" s="51"/>
      <c r="I361" s="51"/>
    </row>
    <row r="362" spans="1:9">
      <c r="A362" s="50"/>
      <c r="B362" s="50"/>
      <c r="C362" s="51"/>
      <c r="D362" s="51"/>
      <c r="E362" s="51"/>
      <c r="F362" s="51"/>
      <c r="G362" s="51"/>
      <c r="H362" s="51"/>
      <c r="I362" s="51"/>
    </row>
    <row r="363" spans="1:9">
      <c r="A363" s="50"/>
      <c r="B363" s="50"/>
      <c r="C363" s="51"/>
      <c r="D363" s="51"/>
      <c r="E363" s="51"/>
      <c r="F363" s="51"/>
      <c r="G363" s="51"/>
      <c r="H363" s="51"/>
      <c r="I363" s="51"/>
    </row>
    <row r="364" spans="1:9">
      <c r="A364" s="50"/>
      <c r="B364" s="50"/>
      <c r="C364" s="51"/>
      <c r="D364" s="51"/>
      <c r="E364" s="51"/>
      <c r="F364" s="51"/>
      <c r="G364" s="51"/>
      <c r="H364" s="51"/>
      <c r="I364" s="51"/>
    </row>
    <row r="365" spans="1:9">
      <c r="A365" s="50"/>
      <c r="B365" s="50"/>
      <c r="C365" s="51"/>
      <c r="D365" s="51"/>
      <c r="E365" s="51"/>
      <c r="F365" s="51"/>
      <c r="G365" s="51"/>
      <c r="H365" s="51"/>
      <c r="I365" s="51"/>
    </row>
    <row r="366" spans="1:9">
      <c r="A366" s="50"/>
      <c r="B366" s="50"/>
      <c r="C366" s="51"/>
      <c r="D366" s="51"/>
      <c r="E366" s="51"/>
      <c r="F366" s="51"/>
      <c r="G366" s="51"/>
      <c r="H366" s="51"/>
      <c r="I366" s="51"/>
    </row>
    <row r="367" spans="1:9">
      <c r="A367" s="50"/>
      <c r="B367" s="50"/>
      <c r="C367" s="51"/>
      <c r="D367" s="51"/>
      <c r="E367" s="51"/>
      <c r="F367" s="51"/>
      <c r="G367" s="51"/>
      <c r="H367" s="51"/>
      <c r="I367" s="51"/>
    </row>
    <row r="368" spans="1:9">
      <c r="A368" s="50"/>
      <c r="B368" s="50"/>
      <c r="C368" s="51"/>
      <c r="D368" s="51"/>
      <c r="E368" s="51"/>
      <c r="F368" s="51"/>
      <c r="G368" s="51"/>
      <c r="H368" s="51"/>
      <c r="I368" s="51"/>
    </row>
    <row r="369" spans="1:9">
      <c r="A369" s="50"/>
      <c r="B369" s="50"/>
      <c r="C369" s="51"/>
      <c r="D369" s="51"/>
      <c r="E369" s="51"/>
      <c r="F369" s="51"/>
      <c r="G369" s="51"/>
      <c r="H369" s="51"/>
      <c r="I369" s="51"/>
    </row>
    <row r="370" spans="1:9">
      <c r="A370" s="50"/>
      <c r="B370" s="50"/>
      <c r="C370" s="51"/>
      <c r="D370" s="51"/>
      <c r="E370" s="51"/>
      <c r="F370" s="51"/>
      <c r="G370" s="51"/>
      <c r="H370" s="51"/>
      <c r="I370" s="51"/>
    </row>
    <row r="371" spans="1:9">
      <c r="A371" s="50"/>
      <c r="B371" s="50"/>
      <c r="C371" s="51"/>
      <c r="D371" s="51"/>
      <c r="E371" s="51"/>
      <c r="F371" s="51"/>
      <c r="G371" s="51"/>
      <c r="H371" s="51"/>
      <c r="I371" s="51"/>
    </row>
    <row r="372" spans="1:9">
      <c r="A372" s="50"/>
      <c r="B372" s="50"/>
      <c r="C372" s="51"/>
      <c r="D372" s="51"/>
      <c r="E372" s="51"/>
      <c r="F372" s="51"/>
      <c r="G372" s="51"/>
      <c r="H372" s="51"/>
      <c r="I372" s="51"/>
    </row>
    <row r="373" spans="1:9">
      <c r="A373" s="50"/>
      <c r="B373" s="50"/>
      <c r="C373" s="51"/>
      <c r="D373" s="51"/>
      <c r="E373" s="51"/>
      <c r="F373" s="51"/>
      <c r="G373" s="51"/>
      <c r="H373" s="51"/>
      <c r="I373" s="51"/>
    </row>
    <row r="374" spans="1:9">
      <c r="A374" s="50"/>
      <c r="B374" s="50"/>
      <c r="C374" s="51"/>
      <c r="D374" s="51"/>
      <c r="E374" s="51"/>
      <c r="F374" s="51"/>
      <c r="G374" s="51"/>
      <c r="H374" s="51"/>
      <c r="I374" s="51"/>
    </row>
    <row r="375" spans="1:9">
      <c r="A375" s="50"/>
      <c r="B375" s="50"/>
      <c r="C375" s="51"/>
      <c r="D375" s="51"/>
      <c r="E375" s="51"/>
      <c r="F375" s="51"/>
      <c r="G375" s="51"/>
      <c r="H375" s="51"/>
      <c r="I375" s="51"/>
    </row>
    <row r="376" spans="1:9">
      <c r="A376" s="50"/>
      <c r="B376" s="50"/>
      <c r="C376" s="51"/>
      <c r="D376" s="51"/>
      <c r="E376" s="51"/>
      <c r="F376" s="51"/>
      <c r="G376" s="51"/>
      <c r="H376" s="51"/>
      <c r="I376" s="51"/>
    </row>
    <row r="377" spans="1:9">
      <c r="A377" s="50"/>
      <c r="B377" s="50"/>
      <c r="C377" s="51"/>
      <c r="D377" s="51"/>
      <c r="E377" s="51"/>
      <c r="F377" s="51"/>
      <c r="G377" s="51"/>
      <c r="H377" s="51"/>
      <c r="I377" s="51"/>
    </row>
    <row r="378" spans="1:9">
      <c r="A378" s="50"/>
      <c r="B378" s="50"/>
      <c r="C378" s="51"/>
      <c r="D378" s="51"/>
      <c r="E378" s="51"/>
      <c r="F378" s="51"/>
      <c r="G378" s="51"/>
      <c r="H378" s="51"/>
      <c r="I378" s="51"/>
    </row>
    <row r="379" spans="1:9">
      <c r="A379" s="50"/>
      <c r="B379" s="50"/>
      <c r="C379" s="51"/>
      <c r="D379" s="51"/>
      <c r="E379" s="51"/>
      <c r="F379" s="51"/>
      <c r="G379" s="51"/>
      <c r="H379" s="51"/>
      <c r="I379" s="51"/>
    </row>
    <row r="380" spans="1:9">
      <c r="A380" s="50"/>
      <c r="B380" s="50"/>
      <c r="C380" s="51"/>
      <c r="D380" s="51"/>
      <c r="E380" s="51"/>
      <c r="F380" s="51"/>
      <c r="G380" s="51"/>
      <c r="H380" s="51"/>
      <c r="I380" s="51"/>
    </row>
    <row r="381" spans="1:9">
      <c r="A381" s="50"/>
      <c r="B381" s="50"/>
      <c r="C381" s="51"/>
      <c r="D381" s="51"/>
      <c r="E381" s="51"/>
      <c r="F381" s="51"/>
      <c r="G381" s="51"/>
      <c r="H381" s="51"/>
      <c r="I381" s="51"/>
    </row>
    <row r="382" spans="1:9">
      <c r="A382" s="50"/>
      <c r="B382" s="50"/>
      <c r="C382" s="51"/>
      <c r="D382" s="51"/>
      <c r="E382" s="51"/>
      <c r="F382" s="51"/>
      <c r="G382" s="51"/>
      <c r="H382" s="51"/>
      <c r="I382" s="51"/>
    </row>
    <row r="383" spans="1:9">
      <c r="A383" s="50"/>
      <c r="B383" s="50"/>
      <c r="C383" s="51"/>
      <c r="D383" s="51"/>
      <c r="E383" s="51"/>
      <c r="F383" s="51"/>
      <c r="G383" s="51"/>
      <c r="H383" s="51"/>
      <c r="I383" s="51"/>
    </row>
    <row r="384" spans="1:9">
      <c r="A384" s="50"/>
      <c r="B384" s="50"/>
      <c r="C384" s="51"/>
      <c r="D384" s="51"/>
      <c r="E384" s="51"/>
      <c r="F384" s="51"/>
      <c r="G384" s="51"/>
      <c r="H384" s="51"/>
      <c r="I384" s="51"/>
    </row>
    <row r="385" spans="1:9">
      <c r="A385" s="50"/>
      <c r="B385" s="50"/>
      <c r="C385" s="51"/>
      <c r="D385" s="51"/>
      <c r="E385" s="51"/>
      <c r="F385" s="51"/>
      <c r="G385" s="51"/>
      <c r="H385" s="51"/>
      <c r="I385" s="51"/>
    </row>
    <row r="386" spans="1:9">
      <c r="A386" s="50"/>
      <c r="B386" s="50"/>
      <c r="C386" s="51"/>
      <c r="D386" s="51"/>
      <c r="E386" s="51"/>
      <c r="F386" s="51"/>
      <c r="G386" s="51"/>
      <c r="H386" s="51"/>
      <c r="I386" s="51"/>
    </row>
    <row r="387" spans="1:9">
      <c r="A387" s="50"/>
      <c r="B387" s="50"/>
      <c r="C387" s="51"/>
      <c r="D387" s="51"/>
      <c r="E387" s="51"/>
      <c r="F387" s="51"/>
      <c r="G387" s="51"/>
      <c r="H387" s="51"/>
      <c r="I387" s="51"/>
    </row>
    <row r="388" spans="1:9">
      <c r="A388" s="50"/>
      <c r="B388" s="50"/>
      <c r="C388" s="51"/>
      <c r="D388" s="51"/>
      <c r="E388" s="51"/>
      <c r="F388" s="51"/>
      <c r="G388" s="51"/>
      <c r="H388" s="51"/>
      <c r="I388" s="51"/>
    </row>
    <row r="389" spans="1:9">
      <c r="A389" s="50"/>
      <c r="B389" s="50"/>
      <c r="C389" s="51"/>
      <c r="D389" s="51"/>
      <c r="E389" s="51"/>
      <c r="F389" s="51"/>
      <c r="G389" s="51"/>
      <c r="H389" s="51"/>
      <c r="I389" s="51"/>
    </row>
    <row r="390" spans="1:9">
      <c r="A390" s="50"/>
      <c r="B390" s="50"/>
      <c r="C390" s="51"/>
      <c r="D390" s="51"/>
      <c r="E390" s="51"/>
      <c r="F390" s="51"/>
      <c r="G390" s="51"/>
      <c r="H390" s="51"/>
      <c r="I390" s="51"/>
    </row>
    <row r="391" spans="1:9">
      <c r="A391" s="50"/>
      <c r="B391" s="50"/>
      <c r="C391" s="51"/>
      <c r="D391" s="51"/>
      <c r="E391" s="51"/>
      <c r="F391" s="51"/>
      <c r="G391" s="51"/>
      <c r="H391" s="51"/>
      <c r="I391" s="51"/>
    </row>
    <row r="392" spans="1:9">
      <c r="A392" s="50"/>
      <c r="B392" s="50"/>
      <c r="C392" s="51"/>
      <c r="D392" s="51"/>
      <c r="E392" s="51"/>
      <c r="F392" s="51"/>
      <c r="G392" s="51"/>
      <c r="H392" s="51"/>
      <c r="I392" s="51"/>
    </row>
    <row r="393" spans="1:9">
      <c r="A393" s="50"/>
      <c r="B393" s="50"/>
      <c r="C393" s="51"/>
      <c r="D393" s="51"/>
      <c r="E393" s="51"/>
      <c r="F393" s="51"/>
      <c r="G393" s="51"/>
      <c r="H393" s="51"/>
      <c r="I393" s="51"/>
    </row>
    <row r="394" spans="1:9">
      <c r="A394" s="50"/>
      <c r="B394" s="50"/>
      <c r="C394" s="51"/>
      <c r="D394" s="51"/>
      <c r="E394" s="51"/>
      <c r="F394" s="51"/>
      <c r="G394" s="51"/>
      <c r="H394" s="51"/>
      <c r="I394" s="51"/>
    </row>
    <row r="395" spans="1:9">
      <c r="A395" s="50"/>
      <c r="B395" s="50"/>
      <c r="C395" s="51"/>
      <c r="D395" s="51"/>
      <c r="E395" s="51"/>
      <c r="F395" s="51"/>
      <c r="G395" s="51"/>
      <c r="H395" s="51"/>
      <c r="I395" s="51"/>
    </row>
    <row r="396" spans="1:9">
      <c r="A396" s="50"/>
      <c r="B396" s="50"/>
      <c r="C396" s="51"/>
      <c r="D396" s="51"/>
      <c r="E396" s="51"/>
      <c r="F396" s="51"/>
      <c r="G396" s="51"/>
      <c r="H396" s="51"/>
      <c r="I396" s="51"/>
    </row>
    <row r="397" spans="1:9">
      <c r="A397" s="50"/>
      <c r="B397" s="50"/>
      <c r="C397" s="51"/>
      <c r="D397" s="51"/>
      <c r="E397" s="51"/>
      <c r="F397" s="51"/>
      <c r="G397" s="51"/>
      <c r="H397" s="51"/>
      <c r="I397" s="51"/>
    </row>
    <row r="398" spans="1:9">
      <c r="A398" s="50"/>
      <c r="B398" s="50"/>
      <c r="C398" s="51"/>
      <c r="D398" s="51"/>
      <c r="E398" s="51"/>
      <c r="F398" s="51"/>
      <c r="G398" s="51"/>
      <c r="H398" s="51"/>
      <c r="I398" s="51"/>
    </row>
    <row r="399" spans="1:9">
      <c r="A399" s="50"/>
      <c r="B399" s="50"/>
      <c r="C399" s="51"/>
      <c r="D399" s="51"/>
      <c r="E399" s="51"/>
      <c r="F399" s="51"/>
      <c r="G399" s="51"/>
      <c r="H399" s="51"/>
      <c r="I399" s="51"/>
    </row>
    <row r="400" spans="1:9">
      <c r="A400" s="50"/>
      <c r="B400" s="50"/>
      <c r="C400" s="51"/>
      <c r="D400" s="51"/>
      <c r="E400" s="51"/>
      <c r="F400" s="51"/>
      <c r="G400" s="51"/>
      <c r="H400" s="51"/>
      <c r="I400" s="51"/>
    </row>
    <row r="401" spans="1:9">
      <c r="A401" s="50"/>
      <c r="B401" s="50"/>
      <c r="C401" s="51"/>
      <c r="D401" s="51"/>
      <c r="E401" s="51"/>
      <c r="F401" s="51"/>
      <c r="G401" s="51"/>
      <c r="H401" s="51"/>
      <c r="I401" s="51"/>
    </row>
    <row r="402" spans="1:9">
      <c r="A402" s="50"/>
      <c r="B402" s="50"/>
      <c r="C402" s="51"/>
      <c r="D402" s="51"/>
      <c r="E402" s="51"/>
      <c r="F402" s="51"/>
      <c r="G402" s="51"/>
      <c r="H402" s="51"/>
      <c r="I402" s="51"/>
    </row>
    <row r="403" spans="1:9">
      <c r="A403" s="50"/>
      <c r="B403" s="50"/>
      <c r="C403" s="51"/>
      <c r="D403" s="51"/>
      <c r="E403" s="51"/>
      <c r="F403" s="51"/>
      <c r="G403" s="51"/>
      <c r="H403" s="51"/>
      <c r="I403" s="51"/>
    </row>
    <row r="404" spans="1:9">
      <c r="A404" s="50"/>
      <c r="B404" s="50"/>
      <c r="C404" s="51"/>
      <c r="D404" s="51"/>
      <c r="E404" s="51"/>
      <c r="F404" s="51"/>
      <c r="G404" s="51"/>
      <c r="H404" s="51"/>
      <c r="I404" s="51"/>
    </row>
    <row r="405" spans="1:9">
      <c r="A405" s="50"/>
      <c r="B405" s="50"/>
      <c r="C405" s="51"/>
      <c r="D405" s="51"/>
      <c r="E405" s="51"/>
      <c r="F405" s="51"/>
      <c r="G405" s="51"/>
      <c r="H405" s="51"/>
      <c r="I405" s="51"/>
    </row>
    <row r="406" spans="1:9">
      <c r="A406" s="50"/>
      <c r="B406" s="50"/>
      <c r="C406" s="51"/>
      <c r="D406" s="51"/>
      <c r="E406" s="51"/>
      <c r="F406" s="51"/>
      <c r="G406" s="51"/>
      <c r="H406" s="51"/>
      <c r="I406" s="51"/>
    </row>
    <row r="407" spans="1:9">
      <c r="A407" s="50"/>
      <c r="B407" s="50"/>
      <c r="C407" s="51"/>
      <c r="D407" s="51"/>
      <c r="E407" s="51"/>
      <c r="F407" s="51"/>
      <c r="G407" s="51"/>
      <c r="H407" s="51"/>
      <c r="I407" s="51"/>
    </row>
    <row r="408" spans="1:9">
      <c r="A408" s="50"/>
      <c r="B408" s="50"/>
      <c r="C408" s="51"/>
      <c r="D408" s="51"/>
      <c r="E408" s="51"/>
      <c r="F408" s="51"/>
      <c r="G408" s="51"/>
      <c r="H408" s="51"/>
      <c r="I408" s="51"/>
    </row>
    <row r="409" spans="1:9">
      <c r="A409" s="50"/>
      <c r="B409" s="50"/>
      <c r="C409" s="51"/>
      <c r="D409" s="51"/>
      <c r="E409" s="51"/>
      <c r="F409" s="51"/>
      <c r="G409" s="51"/>
      <c r="H409" s="51"/>
      <c r="I409" s="51"/>
    </row>
    <row r="410" spans="1:9">
      <c r="A410" s="50"/>
      <c r="B410" s="50"/>
      <c r="C410" s="51"/>
      <c r="D410" s="51"/>
      <c r="E410" s="51"/>
      <c r="F410" s="51"/>
      <c r="G410" s="51"/>
      <c r="H410" s="51"/>
      <c r="I410" s="51"/>
    </row>
    <row r="411" spans="1:9">
      <c r="A411" s="50"/>
      <c r="B411" s="50"/>
      <c r="C411" s="51"/>
      <c r="D411" s="51"/>
      <c r="E411" s="51"/>
      <c r="F411" s="51"/>
      <c r="G411" s="51"/>
      <c r="H411" s="51"/>
      <c r="I411" s="51"/>
    </row>
    <row r="412" spans="1:9">
      <c r="A412" s="50"/>
      <c r="B412" s="50"/>
      <c r="C412" s="51"/>
      <c r="D412" s="51"/>
      <c r="E412" s="51"/>
      <c r="F412" s="51"/>
      <c r="G412" s="51"/>
      <c r="H412" s="51"/>
      <c r="I412" s="51"/>
    </row>
    <row r="413" spans="1:9">
      <c r="A413" s="50"/>
      <c r="B413" s="50"/>
      <c r="C413" s="51"/>
      <c r="D413" s="51"/>
      <c r="E413" s="51"/>
      <c r="F413" s="51"/>
      <c r="G413" s="51"/>
      <c r="H413" s="51"/>
      <c r="I413" s="51"/>
    </row>
    <row r="414" spans="1:9">
      <c r="A414" s="50"/>
      <c r="B414" s="50"/>
      <c r="C414" s="51"/>
      <c r="D414" s="51"/>
      <c r="E414" s="51"/>
      <c r="F414" s="51"/>
      <c r="G414" s="51"/>
      <c r="H414" s="51"/>
      <c r="I414" s="51"/>
    </row>
    <row r="415" spans="1:9">
      <c r="A415" s="50"/>
      <c r="B415" s="50"/>
      <c r="C415" s="51"/>
      <c r="D415" s="51"/>
      <c r="E415" s="51"/>
      <c r="F415" s="51"/>
      <c r="G415" s="51"/>
      <c r="H415" s="51"/>
      <c r="I415" s="51"/>
    </row>
    <row r="416" spans="1:9">
      <c r="A416" s="50"/>
      <c r="B416" s="50"/>
      <c r="C416" s="51"/>
      <c r="D416" s="51"/>
      <c r="E416" s="51"/>
      <c r="F416" s="51"/>
      <c r="G416" s="51"/>
      <c r="H416" s="51"/>
      <c r="I416" s="51"/>
    </row>
    <row r="417" spans="1:9">
      <c r="A417" s="50"/>
      <c r="B417" s="50"/>
      <c r="C417" s="51"/>
      <c r="D417" s="51"/>
      <c r="E417" s="51"/>
      <c r="F417" s="51"/>
      <c r="G417" s="51"/>
      <c r="H417" s="51"/>
      <c r="I417" s="51"/>
    </row>
    <row r="418" spans="1:9">
      <c r="A418" s="50"/>
      <c r="B418" s="50"/>
      <c r="C418" s="51"/>
      <c r="D418" s="51"/>
      <c r="E418" s="51"/>
      <c r="F418" s="51"/>
      <c r="G418" s="51"/>
      <c r="H418" s="51"/>
      <c r="I418" s="51"/>
    </row>
    <row r="419" spans="1:9">
      <c r="A419" s="50"/>
      <c r="B419" s="50"/>
      <c r="C419" s="51"/>
      <c r="D419" s="51"/>
      <c r="E419" s="51"/>
      <c r="F419" s="51"/>
      <c r="G419" s="51"/>
      <c r="H419" s="51"/>
      <c r="I419" s="51"/>
    </row>
    <row r="420" spans="1:9">
      <c r="A420" s="50"/>
      <c r="B420" s="50"/>
      <c r="C420" s="51"/>
      <c r="D420" s="51"/>
      <c r="E420" s="51"/>
      <c r="F420" s="51"/>
      <c r="G420" s="51"/>
      <c r="H420" s="51"/>
      <c r="I420" s="51"/>
    </row>
    <row r="421" spans="1:9">
      <c r="A421" s="50"/>
      <c r="B421" s="50"/>
      <c r="C421" s="51"/>
      <c r="D421" s="51"/>
      <c r="E421" s="51"/>
      <c r="F421" s="51"/>
      <c r="G421" s="51"/>
      <c r="H421" s="51"/>
      <c r="I421" s="51"/>
    </row>
    <row r="422" spans="1:9">
      <c r="A422" s="50"/>
      <c r="B422" s="50"/>
      <c r="C422" s="51"/>
      <c r="D422" s="51"/>
      <c r="E422" s="51"/>
      <c r="F422" s="51"/>
      <c r="G422" s="51"/>
      <c r="H422" s="51"/>
      <c r="I422" s="51"/>
    </row>
    <row r="423" spans="1:9">
      <c r="A423" s="50"/>
      <c r="B423" s="50"/>
      <c r="C423" s="51"/>
      <c r="D423" s="51"/>
      <c r="E423" s="51"/>
      <c r="F423" s="51"/>
      <c r="G423" s="51"/>
      <c r="H423" s="51"/>
      <c r="I423" s="51"/>
    </row>
    <row r="424" spans="1:9">
      <c r="A424" s="50"/>
      <c r="B424" s="50"/>
      <c r="C424" s="51"/>
      <c r="D424" s="51"/>
      <c r="E424" s="51"/>
      <c r="F424" s="51"/>
      <c r="G424" s="51"/>
      <c r="H424" s="51"/>
      <c r="I424" s="51"/>
    </row>
    <row r="425" spans="1:9">
      <c r="A425" s="50"/>
      <c r="B425" s="50"/>
      <c r="C425" s="51"/>
      <c r="D425" s="51"/>
      <c r="E425" s="51"/>
      <c r="F425" s="51"/>
      <c r="G425" s="51"/>
      <c r="H425" s="51"/>
      <c r="I425" s="51"/>
    </row>
    <row r="426" spans="1:9">
      <c r="A426" s="50"/>
      <c r="B426" s="50"/>
      <c r="C426" s="51"/>
      <c r="D426" s="51"/>
      <c r="E426" s="51"/>
      <c r="F426" s="51"/>
      <c r="G426" s="51"/>
      <c r="H426" s="51"/>
      <c r="I426" s="51"/>
    </row>
    <row r="427" spans="1:9">
      <c r="A427" s="50"/>
      <c r="B427" s="50"/>
      <c r="C427" s="51"/>
      <c r="D427" s="51"/>
      <c r="E427" s="51"/>
      <c r="F427" s="51"/>
      <c r="G427" s="51"/>
      <c r="H427" s="51"/>
      <c r="I427" s="51"/>
    </row>
    <row r="428" spans="1:9">
      <c r="A428" s="50"/>
      <c r="B428" s="50"/>
      <c r="C428" s="51"/>
      <c r="D428" s="51"/>
      <c r="E428" s="51"/>
      <c r="F428" s="51"/>
      <c r="G428" s="51"/>
      <c r="H428" s="51"/>
      <c r="I428" s="51"/>
    </row>
    <row r="429" spans="1:9">
      <c r="A429" s="50"/>
      <c r="B429" s="50"/>
      <c r="C429" s="51"/>
      <c r="D429" s="51"/>
      <c r="E429" s="51"/>
      <c r="F429" s="51"/>
      <c r="G429" s="51"/>
      <c r="H429" s="51"/>
      <c r="I429" s="51"/>
    </row>
    <row r="430" spans="1:9">
      <c r="A430" s="50"/>
      <c r="B430" s="50"/>
      <c r="C430" s="51"/>
      <c r="D430" s="51"/>
      <c r="E430" s="51"/>
      <c r="F430" s="51"/>
      <c r="G430" s="51"/>
      <c r="H430" s="51"/>
      <c r="I430" s="51"/>
    </row>
    <row r="431" spans="1:9">
      <c r="A431" s="50"/>
      <c r="B431" s="50"/>
      <c r="C431" s="51"/>
      <c r="D431" s="51"/>
      <c r="E431" s="51"/>
      <c r="F431" s="51"/>
      <c r="G431" s="51"/>
      <c r="H431" s="51"/>
      <c r="I431" s="51"/>
    </row>
    <row r="432" spans="1:9">
      <c r="A432" s="50"/>
      <c r="B432" s="50"/>
      <c r="C432" s="51"/>
      <c r="D432" s="51"/>
      <c r="E432" s="51"/>
      <c r="F432" s="51"/>
      <c r="G432" s="51"/>
      <c r="H432" s="51"/>
      <c r="I432" s="51"/>
    </row>
    <row r="433" spans="1:9">
      <c r="A433" s="50"/>
      <c r="B433" s="50"/>
      <c r="C433" s="51"/>
      <c r="D433" s="51"/>
      <c r="E433" s="51"/>
      <c r="F433" s="51"/>
      <c r="G433" s="51"/>
      <c r="H433" s="51"/>
      <c r="I433" s="51"/>
    </row>
    <row r="434" spans="1:9">
      <c r="A434" s="50"/>
      <c r="B434" s="50"/>
      <c r="C434" s="51"/>
      <c r="D434" s="51"/>
      <c r="E434" s="51"/>
      <c r="F434" s="51"/>
      <c r="G434" s="51"/>
      <c r="H434" s="51"/>
      <c r="I434" s="51"/>
    </row>
    <row r="435" spans="1:9">
      <c r="A435" s="50"/>
      <c r="B435" s="50"/>
      <c r="C435" s="51"/>
      <c r="D435" s="51"/>
      <c r="E435" s="51"/>
      <c r="F435" s="51"/>
      <c r="G435" s="51"/>
      <c r="H435" s="51"/>
      <c r="I435" s="51"/>
    </row>
    <row r="436" spans="1:9">
      <c r="A436" s="50"/>
      <c r="B436" s="50"/>
      <c r="C436" s="51"/>
      <c r="D436" s="51"/>
      <c r="E436" s="51"/>
      <c r="F436" s="51"/>
      <c r="G436" s="51"/>
      <c r="H436" s="51"/>
      <c r="I436" s="51"/>
    </row>
    <row r="437" spans="1:9">
      <c r="A437" s="50"/>
      <c r="B437" s="50"/>
      <c r="C437" s="51"/>
      <c r="D437" s="51"/>
      <c r="E437" s="51"/>
      <c r="F437" s="51"/>
      <c r="G437" s="51"/>
      <c r="H437" s="51"/>
      <c r="I437" s="51"/>
    </row>
    <row r="438" spans="1:9">
      <c r="A438" s="50"/>
      <c r="B438" s="50"/>
      <c r="C438" s="51"/>
      <c r="D438" s="51"/>
      <c r="E438" s="51"/>
      <c r="F438" s="51"/>
      <c r="G438" s="51"/>
      <c r="H438" s="51"/>
      <c r="I438" s="51"/>
    </row>
    <row r="439" spans="1:9">
      <c r="A439" s="50"/>
      <c r="B439" s="50"/>
      <c r="C439" s="51"/>
      <c r="D439" s="51"/>
      <c r="E439" s="51"/>
      <c r="F439" s="51"/>
      <c r="G439" s="51"/>
      <c r="H439" s="51"/>
      <c r="I439" s="51"/>
    </row>
    <row r="440" spans="1:9">
      <c r="A440" s="50"/>
      <c r="B440" s="50"/>
      <c r="C440" s="51"/>
      <c r="D440" s="51"/>
      <c r="E440" s="51"/>
      <c r="F440" s="51"/>
      <c r="G440" s="51"/>
      <c r="H440" s="51"/>
      <c r="I440" s="51"/>
    </row>
    <row r="441" spans="1:9">
      <c r="A441" s="50"/>
      <c r="B441" s="50"/>
      <c r="C441" s="51"/>
      <c r="D441" s="51"/>
      <c r="E441" s="51"/>
      <c r="F441" s="51"/>
      <c r="G441" s="51"/>
      <c r="H441" s="51"/>
      <c r="I441" s="51"/>
    </row>
    <row r="442" spans="1:9">
      <c r="A442" s="50"/>
      <c r="B442" s="50"/>
      <c r="C442" s="51"/>
      <c r="D442" s="51"/>
      <c r="E442" s="51"/>
      <c r="F442" s="51"/>
      <c r="G442" s="51"/>
      <c r="H442" s="51"/>
      <c r="I442" s="51"/>
    </row>
    <row r="443" spans="1:9">
      <c r="A443" s="50"/>
      <c r="B443" s="50"/>
      <c r="C443" s="51"/>
      <c r="D443" s="51"/>
      <c r="E443" s="51"/>
      <c r="F443" s="51"/>
      <c r="G443" s="51"/>
      <c r="H443" s="51"/>
      <c r="I443" s="51"/>
    </row>
    <row r="444" spans="1:9">
      <c r="A444" s="50"/>
      <c r="B444" s="50"/>
      <c r="C444" s="51"/>
      <c r="D444" s="51"/>
      <c r="E444" s="51"/>
      <c r="F444" s="51"/>
      <c r="G444" s="51"/>
      <c r="H444" s="51"/>
      <c r="I444" s="51"/>
    </row>
    <row r="445" spans="1:9">
      <c r="A445" s="50"/>
      <c r="B445" s="50"/>
      <c r="C445" s="51"/>
      <c r="D445" s="51"/>
      <c r="E445" s="51"/>
      <c r="F445" s="51"/>
      <c r="G445" s="51"/>
      <c r="H445" s="51"/>
      <c r="I445" s="51"/>
    </row>
    <row r="446" spans="1:9">
      <c r="A446" s="50"/>
      <c r="B446" s="50"/>
      <c r="C446" s="51"/>
      <c r="D446" s="51"/>
      <c r="E446" s="51"/>
      <c r="F446" s="51"/>
      <c r="G446" s="51"/>
      <c r="H446" s="51"/>
      <c r="I446" s="51"/>
    </row>
    <row r="447" spans="1:9">
      <c r="A447" s="50"/>
      <c r="B447" s="50"/>
      <c r="C447" s="51"/>
      <c r="D447" s="51"/>
      <c r="E447" s="51"/>
      <c r="F447" s="51"/>
      <c r="G447" s="51"/>
      <c r="H447" s="51"/>
      <c r="I447" s="51"/>
    </row>
    <row r="448" spans="1:9">
      <c r="A448" s="50"/>
      <c r="B448" s="50"/>
      <c r="C448" s="51"/>
      <c r="D448" s="51"/>
      <c r="E448" s="51"/>
      <c r="F448" s="51"/>
      <c r="G448" s="51"/>
      <c r="H448" s="51"/>
      <c r="I448" s="51"/>
    </row>
    <row r="449" spans="1:9">
      <c r="A449" s="50"/>
      <c r="B449" s="50"/>
      <c r="C449" s="51"/>
      <c r="D449" s="51"/>
      <c r="E449" s="51"/>
      <c r="F449" s="51"/>
      <c r="G449" s="51"/>
      <c r="H449" s="51"/>
      <c r="I449" s="51"/>
    </row>
    <row r="450" spans="1:9">
      <c r="A450" s="50"/>
      <c r="B450" s="50"/>
      <c r="C450" s="51"/>
      <c r="D450" s="51"/>
      <c r="E450" s="51"/>
      <c r="F450" s="51"/>
      <c r="G450" s="51"/>
      <c r="H450" s="51"/>
      <c r="I450" s="51"/>
    </row>
    <row r="451" spans="1:9">
      <c r="A451" s="50"/>
      <c r="B451" s="50"/>
      <c r="C451" s="51"/>
      <c r="D451" s="51"/>
      <c r="E451" s="51"/>
      <c r="F451" s="51"/>
      <c r="G451" s="51"/>
      <c r="H451" s="51"/>
      <c r="I451" s="51"/>
    </row>
    <row r="452" spans="1:9">
      <c r="A452" s="50"/>
      <c r="B452" s="50"/>
      <c r="C452" s="51"/>
      <c r="D452" s="51"/>
      <c r="E452" s="51"/>
      <c r="F452" s="51"/>
      <c r="G452" s="51"/>
      <c r="H452" s="51"/>
      <c r="I452" s="51"/>
    </row>
    <row r="453" spans="1:9">
      <c r="A453" s="50"/>
      <c r="B453" s="50"/>
      <c r="C453" s="51"/>
      <c r="D453" s="51"/>
      <c r="E453" s="51"/>
      <c r="F453" s="51"/>
      <c r="G453" s="51"/>
      <c r="H453" s="51"/>
      <c r="I453" s="51"/>
    </row>
    <row r="454" spans="1:9">
      <c r="A454" s="50"/>
      <c r="B454" s="50"/>
      <c r="C454" s="51"/>
      <c r="D454" s="51"/>
      <c r="E454" s="51"/>
      <c r="F454" s="51"/>
      <c r="G454" s="51"/>
      <c r="H454" s="51"/>
      <c r="I454" s="51"/>
    </row>
    <row r="455" spans="1:9">
      <c r="A455" s="50"/>
      <c r="B455" s="50"/>
      <c r="C455" s="51"/>
      <c r="D455" s="51"/>
      <c r="E455" s="51"/>
      <c r="F455" s="51"/>
      <c r="G455" s="51"/>
      <c r="H455" s="51"/>
      <c r="I455" s="51"/>
    </row>
    <row r="456" spans="1:9">
      <c r="A456" s="50"/>
      <c r="B456" s="50"/>
      <c r="C456" s="51"/>
      <c r="D456" s="51"/>
      <c r="E456" s="51"/>
      <c r="F456" s="51"/>
      <c r="G456" s="51"/>
      <c r="H456" s="51"/>
      <c r="I456" s="51"/>
    </row>
    <row r="457" spans="1:9">
      <c r="A457" s="50"/>
      <c r="B457" s="50"/>
      <c r="C457" s="51"/>
      <c r="D457" s="51"/>
      <c r="E457" s="51"/>
      <c r="F457" s="51"/>
      <c r="G457" s="51"/>
      <c r="H457" s="51"/>
      <c r="I457" s="51"/>
    </row>
    <row r="458" spans="1:9">
      <c r="A458" s="50"/>
      <c r="B458" s="50"/>
      <c r="C458" s="51"/>
      <c r="D458" s="51"/>
      <c r="E458" s="51"/>
      <c r="F458" s="51"/>
      <c r="G458" s="51"/>
      <c r="H458" s="51"/>
      <c r="I458" s="51"/>
    </row>
    <row r="459" spans="1:9">
      <c r="A459" s="50"/>
      <c r="B459" s="50"/>
      <c r="C459" s="51"/>
      <c r="D459" s="51"/>
      <c r="E459" s="51"/>
      <c r="F459" s="51"/>
      <c r="G459" s="51"/>
      <c r="H459" s="51"/>
      <c r="I459" s="51"/>
    </row>
    <row r="460" spans="1:9">
      <c r="A460" s="50"/>
      <c r="B460" s="50"/>
      <c r="C460" s="51"/>
      <c r="D460" s="51"/>
      <c r="E460" s="51"/>
      <c r="F460" s="51"/>
      <c r="G460" s="51"/>
      <c r="H460" s="51"/>
      <c r="I460" s="51"/>
    </row>
    <row r="461" spans="1:9">
      <c r="A461" s="50"/>
      <c r="B461" s="50"/>
      <c r="C461" s="51"/>
      <c r="D461" s="51"/>
      <c r="E461" s="51"/>
      <c r="F461" s="51"/>
      <c r="G461" s="51"/>
      <c r="H461" s="51"/>
      <c r="I461" s="51"/>
    </row>
    <row r="462" spans="1:9">
      <c r="A462" s="50"/>
      <c r="B462" s="50"/>
      <c r="C462" s="51"/>
      <c r="D462" s="51"/>
      <c r="E462" s="51"/>
      <c r="F462" s="51"/>
      <c r="G462" s="51"/>
      <c r="H462" s="51"/>
      <c r="I462" s="51"/>
    </row>
    <row r="463" spans="1:9">
      <c r="A463" s="50"/>
      <c r="B463" s="50"/>
      <c r="C463" s="51"/>
      <c r="D463" s="51"/>
      <c r="E463" s="51"/>
      <c r="F463" s="51"/>
      <c r="G463" s="51"/>
      <c r="H463" s="51"/>
      <c r="I463" s="51"/>
    </row>
    <row r="464" spans="1:9">
      <c r="A464" s="50"/>
      <c r="B464" s="50"/>
      <c r="C464" s="51"/>
      <c r="D464" s="51"/>
      <c r="E464" s="51"/>
      <c r="F464" s="51"/>
      <c r="G464" s="51"/>
      <c r="H464" s="51"/>
      <c r="I464" s="51"/>
    </row>
    <row r="465" spans="1:9">
      <c r="A465" s="50"/>
      <c r="B465" s="50"/>
      <c r="C465" s="51"/>
      <c r="D465" s="51"/>
      <c r="E465" s="51"/>
      <c r="F465" s="51"/>
      <c r="G465" s="51"/>
      <c r="H465" s="51"/>
      <c r="I465" s="51"/>
    </row>
    <row r="466" spans="1:9">
      <c r="A466" s="50"/>
      <c r="B466" s="50"/>
      <c r="C466" s="51"/>
      <c r="D466" s="51"/>
      <c r="E466" s="51"/>
      <c r="F466" s="51"/>
      <c r="G466" s="51"/>
      <c r="H466" s="51"/>
      <c r="I466" s="51"/>
    </row>
    <row r="467" spans="1:9">
      <c r="A467" s="50"/>
      <c r="B467" s="50"/>
      <c r="C467" s="51"/>
      <c r="D467" s="51"/>
      <c r="E467" s="51"/>
      <c r="F467" s="51"/>
      <c r="G467" s="51"/>
      <c r="H467" s="51"/>
      <c r="I467" s="51"/>
    </row>
    <row r="468" spans="1:9">
      <c r="A468" s="50"/>
      <c r="B468" s="50"/>
      <c r="C468" s="51"/>
      <c r="D468" s="51"/>
      <c r="E468" s="51"/>
      <c r="F468" s="51"/>
      <c r="G468" s="51"/>
      <c r="H468" s="51"/>
      <c r="I468" s="51"/>
    </row>
    <row r="469" spans="1:9">
      <c r="A469" s="50"/>
      <c r="B469" s="50"/>
      <c r="C469" s="51"/>
      <c r="D469" s="51"/>
      <c r="E469" s="51"/>
      <c r="F469" s="51"/>
      <c r="G469" s="51"/>
      <c r="H469" s="51"/>
      <c r="I469" s="51"/>
    </row>
    <row r="470" spans="1:9">
      <c r="A470" s="50"/>
      <c r="B470" s="50"/>
      <c r="C470" s="51"/>
      <c r="D470" s="51"/>
      <c r="E470" s="51"/>
      <c r="F470" s="51"/>
      <c r="G470" s="51"/>
      <c r="H470" s="51"/>
      <c r="I470" s="51"/>
    </row>
    <row r="471" spans="1:9">
      <c r="A471" s="50"/>
      <c r="B471" s="50"/>
      <c r="C471" s="51"/>
      <c r="D471" s="51"/>
      <c r="E471" s="51"/>
      <c r="F471" s="51"/>
      <c r="G471" s="51"/>
      <c r="H471" s="51"/>
      <c r="I471" s="51"/>
    </row>
    <row r="472" spans="1:9">
      <c r="A472" s="50"/>
      <c r="B472" s="50"/>
      <c r="C472" s="51"/>
      <c r="D472" s="51"/>
      <c r="E472" s="51"/>
      <c r="F472" s="51"/>
      <c r="G472" s="51"/>
      <c r="H472" s="51"/>
      <c r="I472" s="51"/>
    </row>
    <row r="473" spans="1:9">
      <c r="A473" s="50"/>
      <c r="B473" s="50"/>
      <c r="C473" s="51"/>
      <c r="D473" s="51"/>
      <c r="E473" s="51"/>
      <c r="F473" s="51"/>
      <c r="G473" s="51"/>
      <c r="H473" s="51"/>
      <c r="I473" s="51"/>
    </row>
    <row r="474" spans="1:9">
      <c r="A474" s="50"/>
      <c r="B474" s="50"/>
      <c r="C474" s="51"/>
      <c r="D474" s="51"/>
      <c r="E474" s="51"/>
      <c r="F474" s="51"/>
      <c r="G474" s="51"/>
      <c r="H474" s="51"/>
      <c r="I474" s="51"/>
    </row>
    <row r="475" spans="1:9">
      <c r="A475" s="50"/>
      <c r="B475" s="50"/>
      <c r="C475" s="51"/>
      <c r="D475" s="51"/>
      <c r="E475" s="51"/>
      <c r="F475" s="51"/>
      <c r="G475" s="51"/>
      <c r="H475" s="51"/>
      <c r="I475" s="51"/>
    </row>
    <row r="476" spans="1:9">
      <c r="A476" s="50"/>
      <c r="B476" s="50"/>
      <c r="C476" s="51"/>
      <c r="D476" s="51"/>
      <c r="E476" s="51"/>
      <c r="F476" s="51"/>
      <c r="G476" s="51"/>
      <c r="H476" s="51"/>
      <c r="I476" s="51"/>
    </row>
    <row r="477" spans="1:9">
      <c r="A477" s="50"/>
      <c r="B477" s="50"/>
      <c r="C477" s="51"/>
      <c r="D477" s="51"/>
      <c r="E477" s="51"/>
      <c r="F477" s="51"/>
      <c r="G477" s="51"/>
      <c r="H477" s="51"/>
      <c r="I477" s="51"/>
    </row>
    <row r="478" spans="1:9">
      <c r="A478" s="50"/>
      <c r="B478" s="50"/>
      <c r="C478" s="51"/>
      <c r="D478" s="51"/>
      <c r="E478" s="51"/>
      <c r="F478" s="51"/>
      <c r="G478" s="51"/>
      <c r="H478" s="51"/>
      <c r="I478" s="51"/>
    </row>
    <row r="479" spans="1:9">
      <c r="A479" s="50"/>
      <c r="B479" s="50"/>
      <c r="C479" s="51"/>
      <c r="D479" s="51"/>
      <c r="E479" s="51"/>
      <c r="F479" s="51"/>
      <c r="G479" s="51"/>
      <c r="H479" s="51"/>
      <c r="I479" s="51"/>
    </row>
    <row r="480" spans="1:9">
      <c r="A480" s="50"/>
      <c r="B480" s="50"/>
      <c r="C480" s="51"/>
      <c r="D480" s="51"/>
      <c r="E480" s="51"/>
      <c r="F480" s="51"/>
      <c r="G480" s="51"/>
      <c r="H480" s="51"/>
      <c r="I480" s="51"/>
    </row>
    <row r="481" spans="1:9">
      <c r="A481" s="50"/>
      <c r="B481" s="50"/>
      <c r="C481" s="51"/>
      <c r="D481" s="51"/>
      <c r="E481" s="51"/>
      <c r="F481" s="51"/>
      <c r="G481" s="51"/>
      <c r="H481" s="51"/>
      <c r="I481" s="51"/>
    </row>
    <row r="482" spans="1:9">
      <c r="A482" s="50"/>
      <c r="B482" s="50"/>
      <c r="C482" s="51"/>
      <c r="D482" s="51"/>
      <c r="E482" s="51"/>
      <c r="F482" s="51"/>
      <c r="G482" s="51"/>
      <c r="H482" s="51"/>
      <c r="I482" s="51"/>
    </row>
    <row r="483" spans="1:9">
      <c r="A483" s="50"/>
      <c r="B483" s="50"/>
      <c r="C483" s="51"/>
      <c r="D483" s="51"/>
      <c r="E483" s="51"/>
      <c r="F483" s="51"/>
      <c r="G483" s="51"/>
      <c r="H483" s="51"/>
      <c r="I483" s="51"/>
    </row>
    <row r="484" spans="1:9">
      <c r="A484" s="50"/>
      <c r="B484" s="50"/>
      <c r="C484" s="51"/>
      <c r="D484" s="51"/>
      <c r="E484" s="51"/>
      <c r="F484" s="51"/>
      <c r="G484" s="51"/>
      <c r="H484" s="51"/>
      <c r="I484" s="51"/>
    </row>
    <row r="485" spans="1:9">
      <c r="A485" s="50"/>
      <c r="B485" s="50"/>
      <c r="C485" s="51"/>
      <c r="D485" s="51"/>
      <c r="E485" s="51"/>
      <c r="F485" s="51"/>
      <c r="G485" s="51"/>
      <c r="H485" s="51"/>
      <c r="I485" s="51"/>
    </row>
    <row r="486" spans="1:9">
      <c r="A486" s="50"/>
      <c r="B486" s="50"/>
      <c r="C486" s="51"/>
      <c r="D486" s="51"/>
      <c r="E486" s="51"/>
      <c r="F486" s="51"/>
      <c r="G486" s="51"/>
      <c r="H486" s="51"/>
      <c r="I486" s="51"/>
    </row>
    <row r="487" spans="1:9">
      <c r="A487" s="50"/>
      <c r="B487" s="50"/>
      <c r="C487" s="51"/>
      <c r="D487" s="51"/>
      <c r="E487" s="51"/>
      <c r="F487" s="51"/>
      <c r="G487" s="51"/>
      <c r="H487" s="51"/>
      <c r="I487" s="51"/>
    </row>
    <row r="488" spans="1:9">
      <c r="A488" s="50"/>
      <c r="B488" s="50"/>
      <c r="C488" s="51"/>
      <c r="D488" s="51"/>
      <c r="E488" s="51"/>
      <c r="F488" s="51"/>
      <c r="G488" s="51"/>
      <c r="H488" s="51"/>
      <c r="I488" s="51"/>
    </row>
    <row r="489" spans="1:9">
      <c r="A489" s="50"/>
      <c r="B489" s="50"/>
      <c r="C489" s="51"/>
      <c r="D489" s="51"/>
      <c r="E489" s="51"/>
      <c r="F489" s="51"/>
      <c r="G489" s="51"/>
      <c r="H489" s="51"/>
      <c r="I489" s="51"/>
    </row>
    <row r="490" spans="1:9">
      <c r="A490" s="50"/>
      <c r="B490" s="50"/>
      <c r="C490" s="51"/>
      <c r="D490" s="51"/>
      <c r="E490" s="51"/>
      <c r="F490" s="51"/>
      <c r="G490" s="51"/>
      <c r="H490" s="51"/>
      <c r="I490" s="51"/>
    </row>
    <row r="491" spans="1:9">
      <c r="A491" s="50"/>
      <c r="B491" s="50"/>
      <c r="C491" s="51"/>
      <c r="D491" s="51"/>
      <c r="E491" s="51"/>
      <c r="F491" s="51"/>
      <c r="G491" s="51"/>
      <c r="H491" s="51"/>
      <c r="I491" s="51"/>
    </row>
    <row r="492" spans="1:9">
      <c r="A492" s="50"/>
      <c r="B492" s="50"/>
      <c r="C492" s="51"/>
      <c r="D492" s="51"/>
      <c r="E492" s="51"/>
      <c r="F492" s="51"/>
      <c r="G492" s="51"/>
      <c r="H492" s="51"/>
      <c r="I492" s="51"/>
    </row>
    <row r="493" spans="1:9">
      <c r="A493" s="50"/>
      <c r="B493" s="50"/>
      <c r="C493" s="51"/>
      <c r="D493" s="51"/>
      <c r="E493" s="51"/>
      <c r="F493" s="51"/>
      <c r="G493" s="51"/>
      <c r="H493" s="51"/>
      <c r="I493" s="51"/>
    </row>
    <row r="494" spans="1:9">
      <c r="A494" s="50"/>
      <c r="B494" s="50"/>
      <c r="C494" s="51"/>
      <c r="D494" s="51"/>
      <c r="E494" s="51"/>
      <c r="F494" s="51"/>
      <c r="G494" s="51"/>
      <c r="H494" s="51"/>
      <c r="I494" s="51"/>
    </row>
    <row r="495" spans="1:9">
      <c r="A495" s="50"/>
      <c r="B495" s="50"/>
      <c r="C495" s="51"/>
      <c r="D495" s="51"/>
      <c r="E495" s="51"/>
      <c r="F495" s="51"/>
      <c r="G495" s="51"/>
      <c r="H495" s="51"/>
      <c r="I495" s="51"/>
    </row>
    <row r="496" spans="1:9">
      <c r="A496" s="50"/>
      <c r="B496" s="50"/>
      <c r="C496" s="51"/>
      <c r="D496" s="51"/>
      <c r="E496" s="51"/>
      <c r="F496" s="51"/>
      <c r="G496" s="51"/>
      <c r="H496" s="51"/>
      <c r="I496" s="51"/>
    </row>
    <row r="497" spans="1:9">
      <c r="A497" s="50"/>
      <c r="B497" s="50"/>
      <c r="C497" s="51"/>
      <c r="D497" s="51"/>
      <c r="E497" s="51"/>
      <c r="F497" s="51"/>
      <c r="G497" s="51"/>
      <c r="H497" s="51"/>
      <c r="I497" s="51"/>
    </row>
    <row r="498" spans="1:9">
      <c r="A498" s="50"/>
      <c r="B498" s="50"/>
      <c r="C498" s="51"/>
      <c r="D498" s="51"/>
      <c r="E498" s="51"/>
      <c r="F498" s="51"/>
      <c r="G498" s="51"/>
      <c r="H498" s="51"/>
      <c r="I498" s="51"/>
    </row>
    <row r="499" spans="1:9">
      <c r="A499" s="50"/>
      <c r="B499" s="50"/>
      <c r="C499" s="51"/>
      <c r="D499" s="51"/>
      <c r="E499" s="51"/>
      <c r="F499" s="51"/>
      <c r="G499" s="51"/>
      <c r="H499" s="51"/>
      <c r="I499" s="51"/>
    </row>
    <row r="500" spans="1:9">
      <c r="A500" s="50"/>
      <c r="B500" s="50"/>
      <c r="C500" s="51"/>
      <c r="D500" s="51"/>
      <c r="E500" s="51"/>
      <c r="F500" s="51"/>
      <c r="G500" s="51"/>
      <c r="H500" s="51"/>
      <c r="I500" s="51"/>
    </row>
    <row r="501" spans="1:9">
      <c r="A501" s="50"/>
      <c r="B501" s="50"/>
      <c r="C501" s="51"/>
      <c r="D501" s="51"/>
      <c r="E501" s="51"/>
      <c r="F501" s="51"/>
      <c r="G501" s="51"/>
      <c r="H501" s="51"/>
      <c r="I501" s="51"/>
    </row>
    <row r="502" spans="1:9">
      <c r="A502" s="50"/>
      <c r="B502" s="50"/>
      <c r="C502" s="51"/>
      <c r="D502" s="51"/>
      <c r="E502" s="51"/>
      <c r="F502" s="51"/>
      <c r="G502" s="51"/>
      <c r="H502" s="51"/>
      <c r="I502" s="51"/>
    </row>
    <row r="503" spans="1:9">
      <c r="A503" s="50"/>
      <c r="B503" s="50"/>
      <c r="C503" s="51"/>
      <c r="D503" s="51"/>
      <c r="E503" s="51"/>
      <c r="F503" s="51"/>
      <c r="G503" s="51"/>
      <c r="H503" s="51"/>
      <c r="I503" s="51"/>
    </row>
    <row r="504" spans="1:9">
      <c r="A504" s="50"/>
      <c r="B504" s="50"/>
      <c r="C504" s="51"/>
      <c r="D504" s="51"/>
      <c r="E504" s="51"/>
      <c r="F504" s="51"/>
      <c r="G504" s="51"/>
      <c r="H504" s="51"/>
      <c r="I504" s="51"/>
    </row>
    <row r="505" spans="1:9">
      <c r="A505" s="50"/>
      <c r="B505" s="50"/>
      <c r="C505" s="51"/>
      <c r="D505" s="51"/>
      <c r="E505" s="51"/>
      <c r="F505" s="51"/>
      <c r="G505" s="51"/>
      <c r="H505" s="51"/>
      <c r="I505" s="51"/>
    </row>
    <row r="506" spans="1:9">
      <c r="A506" s="50"/>
      <c r="B506" s="50"/>
      <c r="C506" s="51"/>
      <c r="D506" s="51"/>
      <c r="E506" s="51"/>
      <c r="F506" s="51"/>
      <c r="G506" s="51"/>
      <c r="H506" s="51"/>
      <c r="I506" s="51"/>
    </row>
    <row r="507" spans="1:9">
      <c r="A507" s="50"/>
      <c r="B507" s="50"/>
      <c r="C507" s="51"/>
      <c r="D507" s="51"/>
      <c r="E507" s="51"/>
      <c r="F507" s="51"/>
      <c r="G507" s="51"/>
      <c r="H507" s="51"/>
      <c r="I507" s="51"/>
    </row>
    <row r="508" spans="1:9">
      <c r="A508" s="50"/>
      <c r="B508" s="50"/>
      <c r="C508" s="51"/>
      <c r="D508" s="51"/>
      <c r="E508" s="51"/>
      <c r="F508" s="51"/>
      <c r="G508" s="51"/>
      <c r="H508" s="51"/>
      <c r="I508" s="51"/>
    </row>
    <row r="509" spans="1:9">
      <c r="A509" s="50"/>
      <c r="B509" s="50"/>
      <c r="C509" s="51"/>
      <c r="D509" s="51"/>
      <c r="E509" s="51"/>
      <c r="F509" s="51"/>
      <c r="G509" s="51"/>
      <c r="H509" s="51"/>
      <c r="I509" s="51"/>
    </row>
    <row r="510" spans="1:9">
      <c r="A510" s="50"/>
      <c r="B510" s="50"/>
      <c r="C510" s="51"/>
      <c r="D510" s="51"/>
      <c r="E510" s="51"/>
      <c r="F510" s="51"/>
      <c r="G510" s="51"/>
      <c r="H510" s="51"/>
      <c r="I510" s="51"/>
    </row>
    <row r="511" spans="1:9">
      <c r="A511" s="50"/>
      <c r="B511" s="50"/>
      <c r="C511" s="51"/>
      <c r="D511" s="51"/>
      <c r="E511" s="51"/>
      <c r="F511" s="51"/>
      <c r="G511" s="51"/>
      <c r="H511" s="51"/>
      <c r="I511" s="51"/>
    </row>
    <row r="512" spans="1:9">
      <c r="A512" s="50"/>
      <c r="B512" s="50"/>
      <c r="C512" s="51"/>
      <c r="D512" s="51"/>
      <c r="E512" s="51"/>
      <c r="F512" s="51"/>
      <c r="G512" s="51"/>
      <c r="H512" s="51"/>
      <c r="I512" s="51"/>
    </row>
    <row r="513" spans="1:9">
      <c r="A513" s="50"/>
      <c r="B513" s="50"/>
      <c r="C513" s="51"/>
      <c r="D513" s="51"/>
      <c r="E513" s="51"/>
      <c r="F513" s="51"/>
      <c r="G513" s="51"/>
      <c r="H513" s="51"/>
      <c r="I513" s="51"/>
    </row>
    <row r="514" spans="1:9">
      <c r="A514" s="50"/>
      <c r="B514" s="50"/>
      <c r="C514" s="51"/>
      <c r="D514" s="51"/>
      <c r="E514" s="51"/>
      <c r="F514" s="51"/>
      <c r="G514" s="51"/>
      <c r="H514" s="51"/>
      <c r="I514" s="51"/>
    </row>
    <row r="515" spans="1:9">
      <c r="A515" s="50"/>
      <c r="B515" s="50"/>
      <c r="C515" s="51"/>
      <c r="D515" s="51"/>
      <c r="E515" s="51"/>
      <c r="F515" s="51"/>
      <c r="G515" s="51"/>
      <c r="H515" s="51"/>
      <c r="I515" s="51"/>
    </row>
    <row r="516" spans="1:9">
      <c r="A516" s="50"/>
      <c r="B516" s="50"/>
      <c r="C516" s="51"/>
      <c r="D516" s="51"/>
      <c r="E516" s="51"/>
      <c r="F516" s="51"/>
      <c r="G516" s="51"/>
      <c r="H516" s="51"/>
      <c r="I516" s="51"/>
    </row>
    <row r="517" spans="1:9">
      <c r="A517" s="50"/>
      <c r="B517" s="50"/>
      <c r="C517" s="51"/>
      <c r="D517" s="51"/>
      <c r="E517" s="51"/>
      <c r="F517" s="51"/>
      <c r="G517" s="51"/>
      <c r="H517" s="51"/>
      <c r="I517" s="51"/>
    </row>
    <row r="518" spans="1:9">
      <c r="A518" s="50"/>
      <c r="B518" s="50"/>
      <c r="C518" s="51"/>
      <c r="D518" s="51"/>
      <c r="E518" s="51"/>
      <c r="F518" s="51"/>
      <c r="G518" s="51"/>
      <c r="H518" s="51"/>
      <c r="I518" s="51"/>
    </row>
    <row r="519" spans="1:9">
      <c r="A519" s="50"/>
      <c r="B519" s="50"/>
      <c r="C519" s="51"/>
      <c r="D519" s="51"/>
      <c r="E519" s="51"/>
      <c r="F519" s="51"/>
      <c r="G519" s="51"/>
      <c r="H519" s="51"/>
      <c r="I519" s="51"/>
    </row>
    <row r="520" spans="1:9">
      <c r="A520" s="50"/>
      <c r="B520" s="50"/>
      <c r="C520" s="51"/>
      <c r="D520" s="51"/>
      <c r="E520" s="51"/>
      <c r="F520" s="51"/>
      <c r="G520" s="51"/>
      <c r="H520" s="51"/>
      <c r="I520" s="51"/>
    </row>
    <row r="521" spans="1:9">
      <c r="A521" s="50"/>
      <c r="B521" s="50"/>
      <c r="C521" s="51"/>
      <c r="D521" s="51"/>
      <c r="E521" s="51"/>
      <c r="F521" s="51"/>
      <c r="G521" s="51"/>
      <c r="H521" s="51"/>
      <c r="I521" s="51"/>
    </row>
    <row r="522" spans="1:9">
      <c r="A522" s="50"/>
      <c r="B522" s="50"/>
      <c r="C522" s="51"/>
      <c r="D522" s="51"/>
      <c r="E522" s="51"/>
      <c r="F522" s="51"/>
      <c r="G522" s="51"/>
      <c r="H522" s="51"/>
      <c r="I522" s="51"/>
    </row>
    <row r="523" spans="1:9">
      <c r="A523" s="50"/>
      <c r="B523" s="50"/>
      <c r="C523" s="51"/>
      <c r="D523" s="51"/>
      <c r="E523" s="51"/>
      <c r="F523" s="51"/>
      <c r="G523" s="51"/>
      <c r="H523" s="51"/>
      <c r="I523" s="51"/>
    </row>
    <row r="524" spans="1:9">
      <c r="A524" s="50"/>
      <c r="B524" s="50"/>
      <c r="C524" s="51"/>
      <c r="D524" s="51"/>
      <c r="E524" s="51"/>
      <c r="F524" s="51"/>
      <c r="G524" s="51"/>
      <c r="H524" s="51"/>
      <c r="I524" s="51"/>
    </row>
    <row r="525" spans="1:9">
      <c r="A525" s="50"/>
      <c r="B525" s="50"/>
      <c r="C525" s="51"/>
      <c r="D525" s="51"/>
      <c r="E525" s="51"/>
      <c r="F525" s="51"/>
      <c r="G525" s="51"/>
      <c r="H525" s="51"/>
      <c r="I525" s="51"/>
    </row>
    <row r="526" spans="1:9">
      <c r="A526" s="50"/>
      <c r="B526" s="50"/>
      <c r="C526" s="51"/>
      <c r="D526" s="51"/>
      <c r="E526" s="51"/>
      <c r="F526" s="51"/>
      <c r="G526" s="51"/>
      <c r="H526" s="51"/>
      <c r="I526" s="51"/>
    </row>
  </sheetData>
  <sheetProtection sheet="1" objects="1" scenarios="1"/>
  <mergeCells count="4">
    <mergeCell ref="F4:G4"/>
    <mergeCell ref="F5:G5"/>
    <mergeCell ref="A1:I1"/>
    <mergeCell ref="A2:I2"/>
  </mergeCells>
  <phoneticPr fontId="0" type="noConversion"/>
  <printOptions horizontalCentered="1"/>
  <pageMargins left="0.75" right="0.75" top="0.95" bottom="1" header="0.5" footer="0.5"/>
  <pageSetup scale="84" fitToHeight="0" orientation="landscape" r:id="rId1"/>
  <headerFooter alignWithMargins="0">
    <oddHeader>&amp;C&amp;"Times New Roman,Bold"&amp;16ATTACHMENT D, Page &amp;P of &amp;N
EVERGY</oddHeader>
    <oddFooter>&amp;R&amp;1#&amp;"Calibri"&amp;10&amp;KA80000Internal Use Only</oddFooter>
  </headerFooter>
  <rowBreaks count="2" manualBreakCount="2">
    <brk id="242" max="8" man="1"/>
    <brk id="270" max="8"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J64"/>
  <sheetViews>
    <sheetView view="pageBreakPreview" zoomScale="90" zoomScaleNormal="100" zoomScaleSheetLayoutView="90" workbookViewId="0">
      <selection sqref="A1:I1"/>
    </sheetView>
  </sheetViews>
  <sheetFormatPr defaultRowHeight="13.2"/>
  <cols>
    <col min="1" max="1" width="6.6640625" customWidth="1"/>
    <col min="2" max="2" width="42.44140625" customWidth="1"/>
    <col min="3" max="3" width="13.6640625" customWidth="1"/>
    <col min="4" max="4" width="12.6640625" customWidth="1"/>
    <col min="5" max="7" width="13.6640625" customWidth="1"/>
    <col min="8" max="8" width="12.6640625" customWidth="1"/>
    <col min="9" max="9" width="13.6640625" customWidth="1"/>
    <col min="10" max="10" width="11" customWidth="1"/>
  </cols>
  <sheetData>
    <row r="1" spans="1:10" ht="20.399999999999999">
      <c r="A1" s="1767" t="s">
        <v>2316</v>
      </c>
      <c r="B1" s="1767"/>
      <c r="C1" s="1767"/>
      <c r="D1" s="1767"/>
      <c r="E1" s="1767"/>
      <c r="F1" s="1767"/>
      <c r="G1" s="1767"/>
      <c r="H1" s="1767"/>
      <c r="I1" s="1767"/>
    </row>
    <row r="2" spans="1:10" ht="19.2">
      <c r="A2" s="1768" t="str">
        <f>' Net Monthly Bill'!A2:B2</f>
        <v>For Contract Year Beginning June 1, 2024, Based on 2023 Data</v>
      </c>
      <c r="B2" s="1768"/>
      <c r="C2" s="1768"/>
      <c r="D2" s="1768"/>
      <c r="E2" s="1768"/>
      <c r="F2" s="1768"/>
      <c r="G2" s="1768"/>
      <c r="H2" s="1768"/>
      <c r="I2" s="1768"/>
    </row>
    <row r="3" spans="1:10" ht="15.6">
      <c r="A3" s="1769"/>
      <c r="B3" s="1769"/>
      <c r="C3" s="1769"/>
      <c r="D3" s="1769"/>
      <c r="E3" s="1769"/>
      <c r="F3" s="1769"/>
      <c r="G3" s="1769"/>
      <c r="H3" s="1769"/>
      <c r="I3" s="1769"/>
    </row>
    <row r="4" spans="1:10" ht="15.6">
      <c r="A4" s="863"/>
      <c r="B4" s="863"/>
      <c r="C4" s="863"/>
      <c r="D4" s="863"/>
      <c r="E4" s="863"/>
      <c r="F4" s="863"/>
      <c r="G4" s="863"/>
      <c r="H4" s="863"/>
      <c r="I4" s="863"/>
    </row>
    <row r="5" spans="1:10" ht="15.6">
      <c r="A5" s="863"/>
      <c r="B5" s="863"/>
      <c r="C5" s="863"/>
      <c r="D5" s="863"/>
      <c r="E5" s="863"/>
      <c r="F5" s="863"/>
      <c r="G5" s="863"/>
      <c r="H5" s="863"/>
      <c r="I5" s="863"/>
    </row>
    <row r="6" spans="1:10" ht="15.6">
      <c r="A6" s="642"/>
      <c r="B6" s="702"/>
      <c r="C6" s="702" t="s">
        <v>1611</v>
      </c>
      <c r="D6" s="702" t="s">
        <v>1613</v>
      </c>
      <c r="E6" s="702" t="s">
        <v>1614</v>
      </c>
      <c r="F6" s="702" t="s">
        <v>1615</v>
      </c>
      <c r="G6" s="702"/>
      <c r="H6" s="702" t="s">
        <v>1616</v>
      </c>
      <c r="I6" s="702" t="s">
        <v>516</v>
      </c>
      <c r="J6" s="1290"/>
    </row>
    <row r="7" spans="1:10" ht="18.600000000000001">
      <c r="A7" s="726" t="s">
        <v>494</v>
      </c>
      <c r="B7" s="734" t="s">
        <v>1610</v>
      </c>
      <c r="C7" s="734" t="s">
        <v>1612</v>
      </c>
      <c r="D7" s="734" t="s">
        <v>196</v>
      </c>
      <c r="E7" s="734" t="s">
        <v>1415</v>
      </c>
      <c r="F7" s="734" t="s">
        <v>1415</v>
      </c>
      <c r="G7" s="734" t="s">
        <v>1277</v>
      </c>
      <c r="H7" s="734" t="s">
        <v>195</v>
      </c>
      <c r="I7" s="734" t="s">
        <v>1415</v>
      </c>
    </row>
    <row r="8" spans="1:10" ht="15.6">
      <c r="A8" s="726"/>
      <c r="B8" s="734"/>
      <c r="C8" s="734"/>
      <c r="D8" s="734"/>
      <c r="E8" s="734"/>
      <c r="F8" s="734"/>
      <c r="G8" s="734"/>
      <c r="H8" s="734"/>
      <c r="I8" s="734"/>
    </row>
    <row r="9" spans="1:10" ht="55.2">
      <c r="A9" s="900">
        <v>1</v>
      </c>
      <c r="B9" s="1463" t="s">
        <v>3573</v>
      </c>
      <c r="C9" s="1464"/>
      <c r="D9" s="1464"/>
      <c r="E9" s="1608">
        <v>0</v>
      </c>
      <c r="F9" s="1465">
        <f>2841549</f>
        <v>2841549</v>
      </c>
      <c r="G9" s="1329">
        <f>F9-E9</f>
        <v>2841549</v>
      </c>
      <c r="H9" s="1609">
        <v>0</v>
      </c>
      <c r="I9" s="1167">
        <f>G9*(1+H9)</f>
        <v>2841549</v>
      </c>
      <c r="J9" s="1167" t="s">
        <v>476</v>
      </c>
    </row>
    <row r="10" spans="1:10" ht="15.6">
      <c r="A10" s="901"/>
      <c r="B10" s="1466"/>
      <c r="C10" s="1466"/>
      <c r="D10" s="1466"/>
      <c r="E10" s="1467"/>
      <c r="F10" s="1467"/>
      <c r="G10" s="1168"/>
      <c r="H10" s="1610"/>
      <c r="I10" s="1167"/>
    </row>
    <row r="11" spans="1:10" ht="55.2">
      <c r="A11" s="900">
        <v>2</v>
      </c>
      <c r="B11" s="1463" t="s">
        <v>3574</v>
      </c>
      <c r="C11" s="1464" t="s">
        <v>2868</v>
      </c>
      <c r="D11" s="1464" t="s">
        <v>3543</v>
      </c>
      <c r="E11" s="1608">
        <v>870350222.5742439</v>
      </c>
      <c r="F11" s="1465">
        <v>869340350.46589327</v>
      </c>
      <c r="G11" s="1168">
        <f>F11-E11</f>
        <v>-1009872.1083506346</v>
      </c>
      <c r="H11" s="1609">
        <v>6.2665008839999994E-2</v>
      </c>
      <c r="I11" s="1167">
        <f>G11*(1+H11)</f>
        <v>-1073155.7529476965</v>
      </c>
      <c r="J11" s="1289"/>
    </row>
    <row r="12" spans="1:10" ht="15.6">
      <c r="A12" s="900"/>
      <c r="B12" s="1764" t="s">
        <v>3575</v>
      </c>
      <c r="C12" s="1763"/>
      <c r="D12" s="1763"/>
      <c r="E12" s="1763"/>
      <c r="F12" s="1763"/>
      <c r="G12" s="1168"/>
      <c r="H12" s="1266"/>
      <c r="I12" s="1167"/>
    </row>
    <row r="13" spans="1:10" ht="30.75" customHeight="1">
      <c r="A13" s="900"/>
      <c r="B13" s="1762" t="s">
        <v>3579</v>
      </c>
      <c r="C13" s="1762"/>
      <c r="D13" s="1762"/>
      <c r="E13" s="1762"/>
      <c r="F13" s="1762"/>
      <c r="G13" s="1168"/>
      <c r="H13" s="1607"/>
      <c r="I13" s="1167"/>
    </row>
    <row r="14" spans="1:10" ht="15.6">
      <c r="A14" s="900"/>
      <c r="B14" s="1766" t="s">
        <v>3578</v>
      </c>
      <c r="C14" s="1763"/>
      <c r="D14" s="1763"/>
      <c r="E14" s="1763"/>
      <c r="F14" s="1763"/>
      <c r="G14" s="1168"/>
      <c r="H14" s="1250"/>
      <c r="I14" s="1167"/>
    </row>
    <row r="15" spans="1:10" ht="15.75" customHeight="1">
      <c r="A15" s="901"/>
      <c r="B15" s="1766" t="s">
        <v>3581</v>
      </c>
      <c r="C15" s="1763"/>
      <c r="D15" s="1763"/>
      <c r="E15" s="1763"/>
      <c r="F15" s="1763"/>
      <c r="G15" s="1168"/>
      <c r="H15" s="1251"/>
      <c r="I15" s="1167"/>
    </row>
    <row r="16" spans="1:10" ht="15.6">
      <c r="A16" s="901"/>
      <c r="B16" s="1766"/>
      <c r="C16" s="1763"/>
      <c r="D16" s="1763"/>
      <c r="E16" s="1763"/>
      <c r="F16" s="1763"/>
      <c r="G16" s="1168"/>
      <c r="H16" s="1251"/>
      <c r="I16" s="1167"/>
    </row>
    <row r="17" spans="1:9" ht="15.75" customHeight="1">
      <c r="A17" s="901"/>
      <c r="B17" s="1764" t="s">
        <v>3583</v>
      </c>
      <c r="C17" s="1763"/>
      <c r="D17" s="1763"/>
      <c r="E17" s="1763"/>
      <c r="F17" s="1763"/>
      <c r="G17" s="1168"/>
      <c r="H17" s="1251"/>
      <c r="I17" s="1167"/>
    </row>
    <row r="18" spans="1:9" ht="31.5" customHeight="1">
      <c r="A18" s="901"/>
      <c r="B18" s="1762" t="s">
        <v>3580</v>
      </c>
      <c r="C18" s="1762"/>
      <c r="D18" s="1762"/>
      <c r="E18" s="1762"/>
      <c r="F18" s="1762"/>
      <c r="G18" s="1168"/>
      <c r="H18" s="1251"/>
      <c r="I18" s="1167"/>
    </row>
    <row r="19" spans="1:9" ht="15.75" customHeight="1">
      <c r="A19" s="901"/>
      <c r="B19" s="1766" t="s">
        <v>3582</v>
      </c>
      <c r="C19" s="1763"/>
      <c r="D19" s="1763"/>
      <c r="E19" s="1763"/>
      <c r="F19" s="1763"/>
      <c r="G19" s="1168"/>
      <c r="H19" s="1251"/>
      <c r="I19" s="1167"/>
    </row>
    <row r="20" spans="1:9" ht="15.6">
      <c r="A20" s="901"/>
      <c r="B20" s="1766"/>
      <c r="C20" s="1763"/>
      <c r="D20" s="1763"/>
      <c r="E20" s="1763"/>
      <c r="F20" s="1763"/>
      <c r="G20" s="1168"/>
      <c r="H20" s="1251"/>
      <c r="I20" s="1167"/>
    </row>
    <row r="21" spans="1:9" ht="15.6">
      <c r="A21" s="901"/>
      <c r="B21" s="1764" t="s">
        <v>3576</v>
      </c>
      <c r="C21" s="1763"/>
      <c r="D21" s="1763"/>
      <c r="E21" s="1763"/>
      <c r="F21" s="1763"/>
      <c r="G21" s="1168"/>
      <c r="H21" s="1251"/>
      <c r="I21" s="1167"/>
    </row>
    <row r="22" spans="1:9" ht="15.6">
      <c r="A22" s="901"/>
      <c r="B22" s="1762" t="s">
        <v>3540</v>
      </c>
      <c r="C22" s="1765"/>
      <c r="D22" s="1765"/>
      <c r="E22" s="1765"/>
      <c r="F22" s="1765"/>
      <c r="G22" s="1168"/>
      <c r="H22" s="1251"/>
      <c r="I22" s="1167"/>
    </row>
    <row r="23" spans="1:9" ht="15.6">
      <c r="A23" s="901"/>
      <c r="B23" s="1611"/>
      <c r="C23" s="1466"/>
      <c r="D23" s="1466"/>
      <c r="E23" s="1466"/>
      <c r="F23" s="1466"/>
      <c r="G23" s="1168"/>
      <c r="H23" s="1251"/>
      <c r="I23" s="1167"/>
    </row>
    <row r="24" spans="1:9" ht="15.75" customHeight="1">
      <c r="A24" s="901"/>
      <c r="B24" s="1611" t="s">
        <v>3577</v>
      </c>
      <c r="C24" s="1466"/>
      <c r="D24" s="1466"/>
      <c r="E24" s="1466"/>
      <c r="F24" s="1466"/>
      <c r="G24" s="1168"/>
      <c r="H24" s="1251"/>
      <c r="I24" s="1167"/>
    </row>
    <row r="25" spans="1:9" ht="34.5" customHeight="1">
      <c r="A25" s="901"/>
      <c r="B25" s="1762" t="s">
        <v>3584</v>
      </c>
      <c r="C25" s="1765"/>
      <c r="D25" s="1765"/>
      <c r="E25" s="1765"/>
      <c r="F25" s="1765"/>
      <c r="G25" s="1168"/>
      <c r="H25" s="1251"/>
      <c r="I25" s="1167"/>
    </row>
    <row r="26" spans="1:9" ht="15.6">
      <c r="A26" s="901"/>
      <c r="B26" s="1764"/>
      <c r="C26" s="1763"/>
      <c r="D26" s="1763"/>
      <c r="E26" s="1763"/>
      <c r="F26" s="1763"/>
      <c r="G26" s="1168"/>
      <c r="H26" s="1251"/>
      <c r="I26" s="1167"/>
    </row>
    <row r="27" spans="1:9" ht="15.6">
      <c r="A27" s="901"/>
      <c r="B27" s="1764" t="s">
        <v>3585</v>
      </c>
      <c r="C27" s="1763"/>
      <c r="D27" s="1763"/>
      <c r="E27" s="1763"/>
      <c r="F27" s="1763"/>
      <c r="G27" s="1168"/>
      <c r="H27" s="1251"/>
      <c r="I27" s="1167"/>
    </row>
    <row r="28" spans="1:9" ht="36" customHeight="1">
      <c r="A28" s="901"/>
      <c r="B28" s="1762" t="s">
        <v>3586</v>
      </c>
      <c r="C28" s="1763"/>
      <c r="D28" s="1763"/>
      <c r="E28" s="1763"/>
      <c r="F28" s="1763"/>
      <c r="G28" s="1168"/>
      <c r="H28" s="1251"/>
      <c r="I28" s="1167"/>
    </row>
    <row r="29" spans="1:9" ht="52.5" customHeight="1">
      <c r="A29" s="901"/>
      <c r="B29" s="1762" t="s">
        <v>3587</v>
      </c>
      <c r="C29" s="1763"/>
      <c r="D29" s="1763"/>
      <c r="E29" s="1763"/>
      <c r="F29" s="1763"/>
      <c r="G29" s="1168"/>
      <c r="H29" s="1251"/>
      <c r="I29" s="1167"/>
    </row>
    <row r="30" spans="1:9" ht="15.6">
      <c r="A30" s="901"/>
      <c r="B30" s="1764"/>
      <c r="C30" s="1763"/>
      <c r="D30" s="1763"/>
      <c r="E30" s="1763"/>
      <c r="F30" s="1763"/>
      <c r="G30" s="1168"/>
      <c r="H30" s="1251"/>
      <c r="I30" s="1167"/>
    </row>
    <row r="31" spans="1:9" ht="15.75" customHeight="1">
      <c r="A31" s="901"/>
      <c r="B31" s="1463" t="s">
        <v>3588</v>
      </c>
      <c r="C31" s="1466"/>
      <c r="D31" s="1466"/>
      <c r="E31" s="1466"/>
      <c r="F31" s="1466"/>
      <c r="G31" s="1168"/>
      <c r="H31" s="1251"/>
      <c r="I31" s="1167"/>
    </row>
    <row r="32" spans="1:9" ht="33.75" customHeight="1">
      <c r="A32" s="901"/>
      <c r="B32" s="1762" t="s">
        <v>3590</v>
      </c>
      <c r="C32" s="1765"/>
      <c r="D32" s="1765"/>
      <c r="E32" s="1765"/>
      <c r="F32" s="1765"/>
      <c r="G32" s="1168"/>
      <c r="H32" s="1251"/>
      <c r="I32" s="1167"/>
    </row>
    <row r="33" spans="1:9" ht="15.6">
      <c r="A33" s="901"/>
      <c r="B33" s="1463"/>
      <c r="C33" s="1466"/>
      <c r="D33" s="1466"/>
      <c r="E33" s="1466"/>
      <c r="F33" s="1466"/>
      <c r="G33" s="1168"/>
      <c r="H33" s="1251"/>
      <c r="I33" s="1167"/>
    </row>
    <row r="34" spans="1:9" ht="15.6">
      <c r="A34" s="901"/>
      <c r="B34" s="1764" t="s">
        <v>3665</v>
      </c>
      <c r="C34" s="1763"/>
      <c r="D34" s="1763"/>
      <c r="E34" s="1763"/>
      <c r="F34" s="1763"/>
      <c r="G34" s="1168"/>
      <c r="H34" s="1251"/>
      <c r="I34" s="1167"/>
    </row>
    <row r="35" spans="1:9" ht="31.2" customHeight="1">
      <c r="A35" s="901"/>
      <c r="B35" s="1762" t="s">
        <v>3589</v>
      </c>
      <c r="C35" s="1763"/>
      <c r="D35" s="1763"/>
      <c r="E35" s="1763"/>
      <c r="F35" s="1763"/>
      <c r="G35" s="1168"/>
      <c r="H35" s="1251"/>
      <c r="I35" s="1167"/>
    </row>
    <row r="36" spans="1:9" ht="15.6">
      <c r="A36" s="901"/>
      <c r="B36" s="1466"/>
      <c r="C36" s="1466"/>
      <c r="D36" s="1466"/>
      <c r="E36" s="1467"/>
      <c r="F36" s="1467"/>
      <c r="G36" s="1168"/>
      <c r="H36" s="1251"/>
      <c r="I36" s="1167"/>
    </row>
    <row r="37" spans="1:9" ht="70.2" customHeight="1">
      <c r="A37" s="901">
        <v>3</v>
      </c>
      <c r="B37" s="1463" t="s">
        <v>3663</v>
      </c>
      <c r="C37" s="1464" t="s">
        <v>3541</v>
      </c>
      <c r="D37" s="1464" t="s">
        <v>3591</v>
      </c>
      <c r="E37" s="1468">
        <v>881871774.61769605</v>
      </c>
      <c r="F37" s="1468">
        <v>881518244.44047236</v>
      </c>
      <c r="G37" s="904">
        <f>F37-E37</f>
        <v>-353530.1772236824</v>
      </c>
      <c r="H37" s="1250">
        <v>0</v>
      </c>
      <c r="I37" s="1167">
        <f>G37*(1+H37)</f>
        <v>-353530.1772236824</v>
      </c>
    </row>
    <row r="38" spans="1:9" ht="15.6">
      <c r="A38" s="901"/>
      <c r="B38" s="1469"/>
      <c r="C38" s="1470"/>
      <c r="D38" s="1464"/>
      <c r="E38" s="1465"/>
      <c r="F38" s="1465"/>
      <c r="G38" s="1168"/>
      <c r="H38" s="1251"/>
      <c r="I38" s="1167"/>
    </row>
    <row r="39" spans="1:9" ht="69" customHeight="1">
      <c r="A39" s="901">
        <v>4</v>
      </c>
      <c r="B39" s="1463" t="s">
        <v>3664</v>
      </c>
      <c r="C39" s="1464" t="s">
        <v>3541</v>
      </c>
      <c r="D39" s="1464" t="s">
        <v>3591</v>
      </c>
      <c r="E39" s="1468">
        <v>881871774.61769605</v>
      </c>
      <c r="F39" s="1468">
        <v>881799815.21669817</v>
      </c>
      <c r="G39" s="904">
        <f>F39-E39</f>
        <v>-71959.400997877121</v>
      </c>
      <c r="H39" s="1250">
        <v>0</v>
      </c>
      <c r="I39" s="1167">
        <f>G39*(1+H39)</f>
        <v>-71959.400997877121</v>
      </c>
    </row>
    <row r="40" spans="1:9" ht="15.6">
      <c r="A40" s="901"/>
      <c r="B40" s="1469"/>
      <c r="C40" s="1470"/>
      <c r="D40" s="1464"/>
      <c r="E40" s="1465"/>
      <c r="F40" s="1465"/>
      <c r="G40" s="1168"/>
      <c r="H40" s="1251"/>
      <c r="I40" s="1167"/>
    </row>
    <row r="41" spans="1:9" ht="15.6">
      <c r="A41" s="702" t="s">
        <v>385</v>
      </c>
      <c r="B41" s="1463"/>
      <c r="C41" s="1464"/>
      <c r="D41" s="1464"/>
      <c r="E41" s="1468"/>
      <c r="F41" s="1468"/>
      <c r="G41" s="904">
        <f>F41-E41</f>
        <v>0</v>
      </c>
      <c r="H41" s="1250"/>
      <c r="I41" s="1167">
        <f>G41*(1+H41)</f>
        <v>0</v>
      </c>
    </row>
    <row r="42" spans="1:9" ht="15.6">
      <c r="A42" s="901"/>
      <c r="B42" s="1469"/>
      <c r="C42" s="1470"/>
      <c r="D42" s="1464"/>
      <c r="E42" s="1465"/>
      <c r="F42" s="1465"/>
      <c r="G42" s="1168"/>
      <c r="H42" s="1251"/>
      <c r="I42" s="1167"/>
    </row>
    <row r="43" spans="1:9" ht="15.6">
      <c r="A43" s="702" t="s">
        <v>385</v>
      </c>
      <c r="B43" s="1463"/>
      <c r="C43" s="1464"/>
      <c r="D43" s="1464"/>
      <c r="E43" s="1468"/>
      <c r="F43" s="1468"/>
      <c r="G43" s="904">
        <f>F43-E43</f>
        <v>0</v>
      </c>
      <c r="H43" s="1250"/>
      <c r="I43" s="1167">
        <f>G43*(1+H43)</f>
        <v>0</v>
      </c>
    </row>
    <row r="44" spans="1:9" ht="15.6">
      <c r="A44" s="901"/>
      <c r="B44" s="1469"/>
      <c r="C44" s="1470"/>
      <c r="D44" s="1470"/>
      <c r="E44" s="1465"/>
      <c r="F44" s="1465"/>
      <c r="G44" s="1168"/>
      <c r="H44" s="1251"/>
      <c r="I44" s="1167"/>
    </row>
    <row r="45" spans="1:9" ht="15.6">
      <c r="A45" s="702" t="s">
        <v>385</v>
      </c>
      <c r="B45" s="572"/>
      <c r="C45" s="572"/>
      <c r="D45" s="572"/>
      <c r="E45" s="573"/>
      <c r="F45" s="573"/>
      <c r="G45" s="904">
        <f>F45-E45</f>
        <v>0</v>
      </c>
      <c r="H45" s="605"/>
      <c r="I45" s="903">
        <f>G45*(1+H45)</f>
        <v>0</v>
      </c>
    </row>
    <row r="46" spans="1:9" ht="15.6">
      <c r="A46" s="642"/>
      <c r="B46" s="711" t="s">
        <v>468</v>
      </c>
      <c r="C46" s="711"/>
      <c r="D46" s="711"/>
      <c r="E46" s="711"/>
      <c r="F46" s="711"/>
      <c r="G46" s="711"/>
      <c r="H46" s="711"/>
      <c r="I46" s="1141">
        <f>SUM(I9:I45)</f>
        <v>1342903.668830744</v>
      </c>
    </row>
    <row r="47" spans="1:9" ht="15.6">
      <c r="A47" s="642"/>
      <c r="B47" s="642"/>
      <c r="C47" s="642"/>
      <c r="D47" s="642"/>
      <c r="E47" s="642"/>
      <c r="F47" s="642"/>
      <c r="G47" s="642"/>
      <c r="H47" s="642"/>
      <c r="I47" s="711" t="s">
        <v>1204</v>
      </c>
    </row>
    <row r="48" spans="1:9" ht="15.6">
      <c r="A48" s="726" t="s">
        <v>110</v>
      </c>
      <c r="B48" s="642"/>
      <c r="C48" s="642"/>
      <c r="D48" s="642"/>
      <c r="E48" s="642"/>
      <c r="F48" s="642"/>
      <c r="G48" s="642"/>
      <c r="H48" s="642"/>
      <c r="I48" s="642"/>
    </row>
    <row r="49" spans="1:9" ht="18.600000000000001">
      <c r="A49" s="660" t="s">
        <v>194</v>
      </c>
      <c r="B49" s="642"/>
      <c r="C49" s="642"/>
      <c r="D49" s="642"/>
      <c r="E49" s="642"/>
      <c r="F49" s="642"/>
      <c r="G49" s="642"/>
      <c r="H49" s="642"/>
      <c r="I49" s="642"/>
    </row>
    <row r="50" spans="1:9" ht="18.600000000000001">
      <c r="A50" s="660" t="s">
        <v>289</v>
      </c>
      <c r="B50" s="642"/>
      <c r="C50" s="642"/>
      <c r="D50" s="642"/>
      <c r="E50" s="642"/>
      <c r="F50" s="642"/>
      <c r="G50" s="642"/>
      <c r="H50" s="642"/>
      <c r="I50" s="642"/>
    </row>
    <row r="51" spans="1:9" ht="15.6">
      <c r="A51" s="2"/>
      <c r="B51" s="2"/>
      <c r="C51" s="2"/>
      <c r="D51" s="2"/>
      <c r="E51" s="2"/>
      <c r="F51" s="2"/>
      <c r="G51" s="2"/>
      <c r="H51" s="2"/>
      <c r="I51" s="2"/>
    </row>
    <row r="52" spans="1:9" ht="15.6">
      <c r="A52" s="2"/>
      <c r="B52" s="2"/>
      <c r="C52" s="2"/>
      <c r="D52" s="2"/>
      <c r="E52" s="2"/>
      <c r="F52" s="2"/>
      <c r="G52" s="2"/>
      <c r="H52" s="2"/>
      <c r="I52" s="2"/>
    </row>
    <row r="53" spans="1:9" ht="15.6">
      <c r="A53" s="2"/>
      <c r="B53" s="2"/>
      <c r="C53" s="2"/>
      <c r="D53" s="2"/>
      <c r="E53" s="2"/>
      <c r="F53" s="2"/>
      <c r="G53" s="2"/>
      <c r="H53" s="2"/>
      <c r="I53" s="2"/>
    </row>
    <row r="54" spans="1:9" ht="15.6">
      <c r="A54" s="2"/>
      <c r="B54" s="2"/>
      <c r="C54" s="2"/>
      <c r="D54" s="2"/>
      <c r="E54" s="2"/>
      <c r="F54" s="2"/>
      <c r="G54" s="2"/>
      <c r="H54" s="2"/>
      <c r="I54" s="2"/>
    </row>
    <row r="55" spans="1:9" ht="15.6">
      <c r="A55" s="2"/>
      <c r="B55" s="2"/>
      <c r="C55" s="2"/>
      <c r="D55" s="2"/>
      <c r="E55" s="2"/>
      <c r="F55" s="2"/>
      <c r="G55" s="2"/>
      <c r="H55" s="2"/>
      <c r="I55" s="2"/>
    </row>
    <row r="56" spans="1:9" ht="15.6">
      <c r="A56" s="2"/>
      <c r="B56" s="2"/>
      <c r="C56" s="2"/>
      <c r="D56" s="2"/>
      <c r="E56" s="2"/>
      <c r="F56" s="2"/>
      <c r="G56" s="2"/>
      <c r="H56" s="2"/>
      <c r="I56" s="2"/>
    </row>
    <row r="57" spans="1:9" ht="15.6">
      <c r="A57" s="2"/>
      <c r="B57" s="2"/>
      <c r="C57" s="2"/>
      <c r="D57" s="2"/>
      <c r="E57" s="2"/>
      <c r="F57" s="2"/>
      <c r="G57" s="2"/>
      <c r="H57" s="2"/>
      <c r="I57" s="2"/>
    </row>
    <row r="58" spans="1:9" ht="15.6">
      <c r="A58" s="2"/>
      <c r="B58" s="2"/>
      <c r="C58" s="2"/>
      <c r="D58" s="2"/>
      <c r="E58" s="2"/>
      <c r="F58" s="2"/>
      <c r="G58" s="2"/>
      <c r="H58" s="2"/>
      <c r="I58" s="2"/>
    </row>
    <row r="59" spans="1:9" ht="15.6">
      <c r="A59" s="2"/>
      <c r="B59" s="2"/>
      <c r="C59" s="2"/>
      <c r="D59" s="2"/>
      <c r="E59" s="2"/>
      <c r="F59" s="2"/>
      <c r="G59" s="2"/>
      <c r="H59" s="2"/>
      <c r="I59" s="2"/>
    </row>
    <row r="60" spans="1:9" ht="15.6">
      <c r="A60" s="2"/>
      <c r="B60" s="2"/>
      <c r="C60" s="2"/>
      <c r="D60" s="2"/>
      <c r="E60" s="2"/>
      <c r="F60" s="2"/>
      <c r="G60" s="2"/>
      <c r="H60" s="2"/>
      <c r="I60" s="2"/>
    </row>
    <row r="61" spans="1:9" ht="15.6">
      <c r="A61" s="2"/>
      <c r="B61" s="2"/>
      <c r="C61" s="2"/>
      <c r="D61" s="2"/>
      <c r="E61" s="2"/>
      <c r="F61" s="2"/>
      <c r="G61" s="2"/>
      <c r="H61" s="2"/>
      <c r="I61" s="2"/>
    </row>
    <row r="62" spans="1:9" ht="15.6">
      <c r="A62" s="2"/>
      <c r="B62" s="2"/>
      <c r="C62" s="2"/>
      <c r="D62" s="2"/>
      <c r="E62" s="2"/>
      <c r="F62" s="2"/>
      <c r="G62" s="2"/>
      <c r="H62" s="2"/>
      <c r="I62" s="2"/>
    </row>
    <row r="63" spans="1:9" ht="15.6">
      <c r="A63" s="2"/>
      <c r="B63" s="2"/>
      <c r="C63" s="2"/>
      <c r="D63" s="2"/>
      <c r="E63" s="2"/>
      <c r="F63" s="2"/>
      <c r="G63" s="2"/>
      <c r="H63" s="2"/>
      <c r="I63" s="2"/>
    </row>
    <row r="64" spans="1:9" ht="15.6">
      <c r="A64" s="2"/>
      <c r="B64" s="2"/>
      <c r="C64" s="2"/>
      <c r="D64" s="2"/>
      <c r="E64" s="2"/>
      <c r="F64" s="2"/>
      <c r="G64" s="2"/>
      <c r="H64" s="2"/>
      <c r="I64" s="2"/>
    </row>
  </sheetData>
  <sheetProtection sheet="1" objects="1" scenarios="1"/>
  <mergeCells count="23">
    <mergeCell ref="A1:I1"/>
    <mergeCell ref="A2:I2"/>
    <mergeCell ref="A3:I3"/>
    <mergeCell ref="B12:F12"/>
    <mergeCell ref="B14:F14"/>
    <mergeCell ref="B13:F13"/>
    <mergeCell ref="B15:F15"/>
    <mergeCell ref="B16:F16"/>
    <mergeCell ref="B17:F17"/>
    <mergeCell ref="B18:F18"/>
    <mergeCell ref="B19:F19"/>
    <mergeCell ref="B20:F20"/>
    <mergeCell ref="B21:F21"/>
    <mergeCell ref="B22:F22"/>
    <mergeCell ref="B25:F25"/>
    <mergeCell ref="B26:F26"/>
    <mergeCell ref="B29:F29"/>
    <mergeCell ref="B35:F35"/>
    <mergeCell ref="B27:F27"/>
    <mergeCell ref="B28:F28"/>
    <mergeCell ref="B30:F30"/>
    <mergeCell ref="B32:F32"/>
    <mergeCell ref="B34:F34"/>
  </mergeCells>
  <printOptions horizontalCentered="1"/>
  <pageMargins left="0.75" right="0.75" top="0.93" bottom="1" header="0.5" footer="0.5"/>
  <pageSetup scale="45" orientation="landscape" r:id="rId1"/>
  <headerFooter alignWithMargins="0">
    <oddHeader>&amp;C&amp;"Times New Roman,Bold"&amp;16ATTACHMENT D, Page &amp;P of &amp;N
EVERGY</oddHeader>
    <oddFooter>&amp;R&amp;1#&amp;"Calibri"&amp;10&amp;KA80000Internal Use Only</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I1047"/>
  <sheetViews>
    <sheetView view="pageBreakPreview" zoomScale="65" zoomScaleNormal="100" zoomScaleSheetLayoutView="65" workbookViewId="0">
      <selection sqref="A1:Q1"/>
    </sheetView>
  </sheetViews>
  <sheetFormatPr defaultColWidth="12.44140625" defaultRowHeight="13.2"/>
  <cols>
    <col min="1" max="1" width="5.6640625" style="39" customWidth="1"/>
    <col min="2" max="2" width="10.6640625" style="52" customWidth="1"/>
    <col min="3" max="3" width="20.33203125" style="52" customWidth="1"/>
    <col min="4" max="10" width="15.88671875" style="52" customWidth="1"/>
    <col min="11" max="11" width="15.88671875" style="53" customWidth="1"/>
    <col min="12" max="12" width="15.6640625" style="52" customWidth="1"/>
    <col min="13" max="13" width="15.88671875" style="52" customWidth="1"/>
    <col min="14" max="14" width="15.6640625" style="52" customWidth="1"/>
    <col min="15" max="15" width="15.88671875" style="52" customWidth="1"/>
    <col min="16" max="16" width="15.6640625" style="52" customWidth="1"/>
    <col min="17" max="17" width="5.33203125" style="52" customWidth="1"/>
    <col min="18" max="18" width="4.88671875" style="52" customWidth="1"/>
    <col min="19" max="20" width="3.6640625" style="52" customWidth="1"/>
    <col min="21" max="21" width="19.33203125" style="52" customWidth="1"/>
    <col min="22" max="22" width="9.6640625" style="52" customWidth="1"/>
    <col min="23" max="23" width="16.109375" style="52" bestFit="1" customWidth="1"/>
    <col min="24" max="24" width="17.33203125" style="52" bestFit="1" customWidth="1"/>
    <col min="25" max="25" width="16.109375" style="52" bestFit="1" customWidth="1"/>
    <col min="26" max="26" width="14.88671875" style="52" bestFit="1" customWidth="1"/>
    <col min="27" max="27" width="16.109375" style="52" bestFit="1" customWidth="1"/>
    <col min="28" max="29" width="14.88671875" style="52" bestFit="1" customWidth="1"/>
    <col min="30" max="30" width="15.5546875" style="52" bestFit="1" customWidth="1"/>
    <col min="31" max="31" width="17.44140625" style="52" bestFit="1" customWidth="1"/>
    <col min="32" max="33" width="14.44140625" style="52" bestFit="1" customWidth="1"/>
    <col min="34" max="34" width="14.33203125" style="52" bestFit="1" customWidth="1"/>
    <col min="35" max="35" width="3.6640625" style="52" customWidth="1"/>
    <col min="36" max="36" width="30.6640625" style="52" customWidth="1"/>
    <col min="37" max="37" width="15.6640625" style="290" customWidth="1"/>
    <col min="38" max="38" width="3.6640625" style="52" customWidth="1"/>
    <col min="39" max="39" width="34.6640625" style="52" customWidth="1"/>
    <col min="40" max="40" width="15.6640625" style="290" customWidth="1"/>
    <col min="41" max="41" width="3.6640625" style="52" customWidth="1"/>
    <col min="42" max="42" width="6.6640625" style="52" customWidth="1"/>
    <col min="43" max="43" width="45.88671875" style="52" customWidth="1"/>
    <col min="44" max="44" width="15.6640625" style="290" customWidth="1"/>
    <col min="45" max="45" width="3.6640625" style="52" customWidth="1"/>
    <col min="46" max="46" width="6.6640625" style="52" customWidth="1"/>
    <col min="47" max="47" width="46.5546875" style="52" customWidth="1"/>
    <col min="48" max="48" width="15.6640625" style="52" customWidth="1"/>
    <col min="49" max="49" width="3.6640625" style="52" customWidth="1"/>
    <col min="50" max="243" width="12.44140625" style="52"/>
  </cols>
  <sheetData>
    <row r="1" spans="1:62" ht="20.399999999999999">
      <c r="A1" s="1730" t="s">
        <v>2317</v>
      </c>
      <c r="B1" s="1772"/>
      <c r="C1" s="1772"/>
      <c r="D1" s="1772"/>
      <c r="E1" s="1772"/>
      <c r="F1" s="1772"/>
      <c r="G1" s="1772"/>
      <c r="H1" s="1772"/>
      <c r="I1" s="1772"/>
      <c r="J1" s="1772"/>
      <c r="K1" s="1772"/>
      <c r="L1" s="1772"/>
      <c r="M1" s="1772"/>
      <c r="N1" s="1772"/>
      <c r="O1" s="1772"/>
      <c r="P1" s="1772"/>
      <c r="Q1" s="1772"/>
    </row>
    <row r="2" spans="1:62" ht="19.2">
      <c r="A2" s="1731" t="str">
        <f>' Net Monthly Bill'!A2:B2</f>
        <v>For Contract Year Beginning June 1, 2024, Based on 2023 Data</v>
      </c>
      <c r="B2" s="1773"/>
      <c r="C2" s="1773"/>
      <c r="D2" s="1773"/>
      <c r="E2" s="1773"/>
      <c r="F2" s="1773"/>
      <c r="G2" s="1773"/>
      <c r="H2" s="1773"/>
      <c r="I2" s="1773"/>
      <c r="J2" s="1773"/>
      <c r="K2" s="1773"/>
      <c r="L2" s="1773"/>
      <c r="M2" s="1773"/>
      <c r="N2" s="1773"/>
      <c r="O2" s="1773"/>
      <c r="P2" s="1773"/>
      <c r="Q2" s="1773"/>
    </row>
    <row r="3" spans="1:62" ht="15">
      <c r="A3" s="331"/>
      <c r="B3" s="330"/>
      <c r="C3" s="326"/>
      <c r="D3" s="326"/>
      <c r="E3" s="326"/>
      <c r="F3" s="326"/>
      <c r="G3" s="326"/>
      <c r="H3" s="326"/>
      <c r="I3" s="326"/>
      <c r="J3" s="326"/>
      <c r="K3" s="326"/>
      <c r="L3" s="253"/>
      <c r="M3" s="253"/>
      <c r="N3" s="253"/>
      <c r="O3" s="253"/>
      <c r="P3" s="253"/>
      <c r="Q3" s="253"/>
    </row>
    <row r="4" spans="1:62" ht="15.6">
      <c r="A4" s="1774" t="s">
        <v>3018</v>
      </c>
      <c r="B4" s="1775"/>
      <c r="C4" s="1775"/>
      <c r="D4" s="1775"/>
      <c r="E4" s="1775"/>
      <c r="F4" s="1775"/>
      <c r="G4" s="1775"/>
      <c r="H4" s="1775"/>
      <c r="I4" s="1775"/>
      <c r="J4" s="1775"/>
      <c r="K4" s="1775"/>
      <c r="L4" s="1775"/>
      <c r="M4" s="1775"/>
      <c r="N4" s="1775"/>
      <c r="O4" s="1775"/>
      <c r="P4" s="1775"/>
      <c r="Q4" s="253"/>
      <c r="S4" s="277"/>
      <c r="T4" s="277"/>
      <c r="U4" s="277"/>
      <c r="V4" s="277"/>
      <c r="W4" s="277"/>
      <c r="X4" s="277"/>
      <c r="Y4" s="277"/>
      <c r="Z4" s="277"/>
      <c r="AA4" s="277"/>
      <c r="AB4" s="277"/>
      <c r="AC4" s="277"/>
      <c r="AD4" s="277"/>
      <c r="AE4" s="277"/>
      <c r="AF4" s="277"/>
      <c r="AG4" s="277"/>
      <c r="AH4" s="277"/>
      <c r="AI4" s="277"/>
      <c r="AJ4" s="277"/>
      <c r="AK4" s="301"/>
      <c r="AL4" s="277"/>
      <c r="AM4" s="277"/>
      <c r="AN4" s="301"/>
      <c r="AO4" s="277"/>
      <c r="AP4" s="277"/>
      <c r="AQ4" s="277"/>
      <c r="AR4" s="301"/>
      <c r="AS4" s="277"/>
      <c r="AT4" s="277"/>
      <c r="AU4" s="277"/>
      <c r="AV4" s="277"/>
    </row>
    <row r="5" spans="1:62" ht="15.6">
      <c r="A5" s="336" t="s">
        <v>713</v>
      </c>
      <c r="B5" s="337"/>
      <c r="C5" s="338" t="s">
        <v>476</v>
      </c>
      <c r="D5" s="287"/>
      <c r="E5" s="287"/>
      <c r="F5" s="287"/>
      <c r="G5" s="287"/>
      <c r="H5" s="287"/>
      <c r="I5" s="287"/>
      <c r="J5" s="287"/>
      <c r="K5" s="334"/>
      <c r="L5" s="287"/>
      <c r="M5" s="287"/>
      <c r="N5" s="287"/>
      <c r="O5" s="287"/>
      <c r="P5" s="339"/>
      <c r="Q5" s="253"/>
      <c r="S5" s="277"/>
      <c r="T5" s="277"/>
      <c r="U5" s="1776"/>
      <c r="V5" s="1776"/>
      <c r="W5" s="1776"/>
      <c r="X5" s="1776"/>
      <c r="Y5" s="1776"/>
      <c r="Z5" s="1776"/>
      <c r="AA5" s="1776"/>
      <c r="AB5" s="1776"/>
      <c r="AC5" s="1776"/>
      <c r="AD5" s="1776"/>
      <c r="AE5" s="1776"/>
      <c r="AF5" s="1776"/>
      <c r="AG5" s="1776"/>
      <c r="AH5" s="1776"/>
      <c r="AI5" s="277"/>
      <c r="AJ5" s="1776"/>
      <c r="AK5" s="1777"/>
      <c r="AL5" s="1777"/>
      <c r="AM5" s="1777"/>
      <c r="AN5" s="1777"/>
      <c r="AO5" s="277"/>
      <c r="AP5" s="1770"/>
      <c r="AQ5" s="1771"/>
      <c r="AR5" s="1771"/>
      <c r="AS5" s="1771"/>
      <c r="AT5" s="1771"/>
      <c r="AU5" s="1771"/>
      <c r="AV5" s="1771"/>
    </row>
    <row r="6" spans="1:62" ht="15.6">
      <c r="A6" s="355"/>
      <c r="B6" s="356"/>
      <c r="C6" s="287"/>
      <c r="D6" s="287"/>
      <c r="E6" s="287"/>
      <c r="F6" s="287"/>
      <c r="G6" s="287"/>
      <c r="H6" s="287"/>
      <c r="I6" s="287"/>
      <c r="J6" s="287"/>
      <c r="K6" s="334"/>
      <c r="L6" s="287"/>
      <c r="M6" s="287"/>
      <c r="N6" s="287"/>
      <c r="O6" s="287"/>
      <c r="P6" s="339"/>
      <c r="Q6" s="253"/>
      <c r="S6" s="277"/>
      <c r="T6" s="277"/>
      <c r="U6" s="277"/>
      <c r="V6" s="277"/>
      <c r="W6" s="277"/>
      <c r="X6" s="277"/>
      <c r="Y6" s="277"/>
      <c r="Z6" s="277"/>
      <c r="AA6" s="277"/>
      <c r="AB6" s="277"/>
      <c r="AC6" s="277"/>
      <c r="AD6" s="277"/>
      <c r="AE6" s="277"/>
      <c r="AF6" s="277"/>
      <c r="AG6" s="277"/>
      <c r="AH6" s="277"/>
      <c r="AI6" s="277"/>
      <c r="AJ6" s="277"/>
      <c r="AK6" s="301"/>
      <c r="AL6" s="277"/>
      <c r="AM6" s="277"/>
      <c r="AN6" s="301"/>
      <c r="AO6" s="277"/>
      <c r="AP6" s="277"/>
      <c r="AQ6" s="277"/>
      <c r="AR6" s="301"/>
      <c r="AS6" s="277"/>
      <c r="AT6" s="277"/>
      <c r="AU6" s="277"/>
      <c r="AV6" s="277"/>
    </row>
    <row r="7" spans="1:62" ht="18.600000000000001">
      <c r="A7" s="355" t="s">
        <v>494</v>
      </c>
      <c r="B7" s="355" t="s">
        <v>1078</v>
      </c>
      <c r="C7" s="334"/>
      <c r="D7" s="1778" t="s">
        <v>714</v>
      </c>
      <c r="E7" s="1779"/>
      <c r="F7" s="1779"/>
      <c r="G7" s="1779"/>
      <c r="H7" s="1779"/>
      <c r="I7" s="1779"/>
      <c r="J7" s="1779"/>
      <c r="K7" s="1779"/>
      <c r="L7" s="1779"/>
      <c r="M7" s="1779"/>
      <c r="N7" s="1779"/>
      <c r="O7" s="1779"/>
      <c r="P7" s="357"/>
      <c r="Q7" s="253"/>
      <c r="S7" s="277"/>
      <c r="T7" s="277"/>
      <c r="U7" s="302"/>
      <c r="V7" s="303"/>
      <c r="W7" s="303"/>
      <c r="X7" s="303"/>
      <c r="Y7" s="303"/>
      <c r="Z7" s="303"/>
      <c r="AA7" s="303"/>
      <c r="AB7" s="303"/>
      <c r="AC7" s="303"/>
      <c r="AD7" s="303"/>
      <c r="AE7" s="303"/>
      <c r="AF7" s="303"/>
      <c r="AG7" s="303"/>
      <c r="AH7" s="303"/>
      <c r="AI7" s="303"/>
      <c r="AJ7" s="303"/>
      <c r="AK7" s="304"/>
      <c r="AL7" s="303"/>
      <c r="AM7" s="303"/>
      <c r="AN7" s="304"/>
      <c r="AO7" s="303"/>
      <c r="AP7" s="303"/>
      <c r="AQ7" s="303"/>
      <c r="AR7" s="304"/>
      <c r="AS7" s="303"/>
      <c r="AT7" s="303"/>
      <c r="AU7" s="303"/>
      <c r="AV7" s="303"/>
      <c r="AW7" s="213"/>
      <c r="AX7" s="213"/>
      <c r="AY7" s="213"/>
      <c r="AZ7" s="213"/>
      <c r="BA7" s="213"/>
      <c r="BB7" s="213"/>
      <c r="BC7" s="213"/>
      <c r="BD7" s="213"/>
      <c r="BE7" s="213"/>
      <c r="BF7" s="213"/>
      <c r="BG7" s="213"/>
      <c r="BH7" s="213"/>
      <c r="BI7" s="213"/>
    </row>
    <row r="8" spans="1:62" ht="15.6">
      <c r="A8" s="322" t="s">
        <v>928</v>
      </c>
      <c r="B8" s="322" t="s">
        <v>928</v>
      </c>
      <c r="C8" s="335"/>
      <c r="D8" s="358" t="s">
        <v>715</v>
      </c>
      <c r="E8" s="358" t="s">
        <v>2350</v>
      </c>
      <c r="F8" s="358" t="s">
        <v>717</v>
      </c>
      <c r="G8" s="358" t="s">
        <v>718</v>
      </c>
      <c r="H8" s="358" t="s">
        <v>719</v>
      </c>
      <c r="I8" s="358" t="s">
        <v>720</v>
      </c>
      <c r="J8" s="358" t="s">
        <v>721</v>
      </c>
      <c r="K8" s="358" t="s">
        <v>722</v>
      </c>
      <c r="L8" s="358" t="s">
        <v>723</v>
      </c>
      <c r="M8" s="358" t="s">
        <v>724</v>
      </c>
      <c r="N8" s="358" t="s">
        <v>725</v>
      </c>
      <c r="O8" s="358" t="s">
        <v>726</v>
      </c>
      <c r="P8" s="359"/>
      <c r="Q8" s="253"/>
      <c r="S8" s="277"/>
      <c r="T8" s="277"/>
      <c r="U8" s="305"/>
      <c r="V8" s="303"/>
      <c r="W8" s="1780"/>
      <c r="X8" s="1781"/>
      <c r="Y8" s="1781"/>
      <c r="Z8" s="1781"/>
      <c r="AA8" s="1781"/>
      <c r="AB8" s="1781"/>
      <c r="AC8" s="1781"/>
      <c r="AD8" s="1781"/>
      <c r="AE8" s="1781"/>
      <c r="AF8" s="1781"/>
      <c r="AG8" s="1781"/>
      <c r="AH8" s="1781"/>
      <c r="AI8" s="303"/>
      <c r="AJ8" s="305"/>
      <c r="AK8" s="306"/>
      <c r="AL8" s="305"/>
      <c r="AM8" s="305"/>
      <c r="AN8" s="306"/>
      <c r="AO8" s="303"/>
      <c r="AP8" s="305"/>
      <c r="AQ8" s="303"/>
      <c r="AR8" s="306"/>
      <c r="AS8" s="305"/>
      <c r="AT8" s="305"/>
      <c r="AU8" s="303"/>
      <c r="AV8" s="306"/>
      <c r="AW8" s="213"/>
      <c r="AX8" s="213"/>
      <c r="AY8" s="213"/>
      <c r="AZ8" s="213"/>
      <c r="BA8" s="213"/>
      <c r="BB8" s="213"/>
      <c r="BC8" s="213"/>
      <c r="BD8" s="213"/>
      <c r="BE8" s="213"/>
      <c r="BF8" s="213"/>
      <c r="BG8" s="213"/>
      <c r="BH8" s="213"/>
      <c r="BI8" s="213"/>
      <c r="BJ8" s="213"/>
    </row>
    <row r="9" spans="1:62" ht="15.6">
      <c r="A9" s="170">
        <v>1</v>
      </c>
      <c r="B9" s="327">
        <v>311</v>
      </c>
      <c r="C9" s="324"/>
      <c r="D9" s="905">
        <v>0</v>
      </c>
      <c r="E9" s="905">
        <v>0</v>
      </c>
      <c r="F9" s="905">
        <v>0</v>
      </c>
      <c r="G9" s="905">
        <v>0</v>
      </c>
      <c r="H9" s="905">
        <v>0</v>
      </c>
      <c r="I9" s="905">
        <v>0</v>
      </c>
      <c r="J9" s="905">
        <v>0</v>
      </c>
      <c r="K9" s="905">
        <v>0</v>
      </c>
      <c r="L9" s="905">
        <v>0</v>
      </c>
      <c r="M9" s="905">
        <v>0</v>
      </c>
      <c r="N9" s="905">
        <v>0</v>
      </c>
      <c r="O9" s="905">
        <v>0</v>
      </c>
      <c r="P9" s="339"/>
      <c r="Q9" s="253"/>
      <c r="S9" s="277"/>
      <c r="T9" s="277"/>
      <c r="U9" s="303"/>
      <c r="V9" s="303"/>
      <c r="W9" s="307"/>
      <c r="X9" s="307"/>
      <c r="Y9" s="307"/>
      <c r="Z9" s="307"/>
      <c r="AA9" s="307"/>
      <c r="AB9" s="307"/>
      <c r="AC9" s="307"/>
      <c r="AD9" s="307"/>
      <c r="AE9" s="307"/>
      <c r="AF9" s="307"/>
      <c r="AG9" s="307"/>
      <c r="AH9" s="307"/>
      <c r="AI9" s="308"/>
      <c r="AJ9" s="216"/>
      <c r="AK9" s="304"/>
      <c r="AL9" s="303"/>
      <c r="AM9" s="216"/>
      <c r="AN9" s="304"/>
      <c r="AO9" s="303"/>
      <c r="AP9" s="303"/>
      <c r="AQ9" s="303"/>
      <c r="AR9" s="304"/>
      <c r="AS9" s="303"/>
      <c r="AT9" s="303"/>
      <c r="AU9" s="303"/>
      <c r="AV9" s="304"/>
      <c r="AW9" s="213"/>
      <c r="AX9" s="213"/>
      <c r="AY9" s="213"/>
      <c r="AZ9" s="213"/>
      <c r="BA9" s="213"/>
      <c r="BB9" s="213"/>
      <c r="BC9" s="213"/>
      <c r="BD9" s="213"/>
      <c r="BE9" s="213"/>
      <c r="BF9" s="213"/>
      <c r="BG9" s="213"/>
      <c r="BH9" s="213"/>
      <c r="BI9" s="213"/>
      <c r="BJ9" s="213"/>
    </row>
    <row r="10" spans="1:62" ht="15.6">
      <c r="A10" s="170">
        <v>2</v>
      </c>
      <c r="B10" s="327">
        <v>312</v>
      </c>
      <c r="C10" s="324"/>
      <c r="D10" s="905">
        <v>0</v>
      </c>
      <c r="E10" s="905">
        <v>0</v>
      </c>
      <c r="F10" s="905">
        <v>0</v>
      </c>
      <c r="G10" s="905">
        <v>0</v>
      </c>
      <c r="H10" s="905">
        <v>0</v>
      </c>
      <c r="I10" s="905">
        <v>0</v>
      </c>
      <c r="J10" s="905">
        <v>0</v>
      </c>
      <c r="K10" s="905">
        <v>0</v>
      </c>
      <c r="L10" s="905">
        <v>0</v>
      </c>
      <c r="M10" s="905">
        <v>0</v>
      </c>
      <c r="N10" s="905">
        <v>0</v>
      </c>
      <c r="O10" s="905">
        <v>0</v>
      </c>
      <c r="P10" s="339"/>
      <c r="Q10" s="253"/>
      <c r="S10" s="277"/>
      <c r="T10" s="277"/>
      <c r="U10" s="216"/>
      <c r="V10" s="308"/>
      <c r="W10" s="308"/>
      <c r="X10" s="308"/>
      <c r="Y10" s="308"/>
      <c r="Z10" s="308"/>
      <c r="AA10" s="308"/>
      <c r="AB10" s="308"/>
      <c r="AC10" s="308"/>
      <c r="AD10" s="308"/>
      <c r="AE10" s="308"/>
      <c r="AF10" s="308"/>
      <c r="AG10" s="308"/>
      <c r="AH10" s="308"/>
      <c r="AI10" s="308"/>
      <c r="AJ10" s="216"/>
      <c r="AK10" s="304"/>
      <c r="AL10" s="303"/>
      <c r="AM10" s="216"/>
      <c r="AN10" s="304"/>
      <c r="AO10" s="303"/>
      <c r="AP10" s="303"/>
      <c r="AQ10" s="303"/>
      <c r="AR10" s="304"/>
      <c r="AS10" s="303"/>
      <c r="AT10" s="303"/>
      <c r="AU10" s="303"/>
      <c r="AV10" s="304"/>
      <c r="AW10" s="213"/>
      <c r="AX10" s="213"/>
      <c r="AY10" s="213"/>
      <c r="AZ10" s="213"/>
      <c r="BA10" s="213"/>
      <c r="BB10" s="213"/>
      <c r="BC10" s="213"/>
      <c r="BD10" s="213"/>
      <c r="BE10" s="213"/>
      <c r="BF10" s="213"/>
      <c r="BG10" s="213"/>
      <c r="BH10" s="213"/>
      <c r="BI10" s="213"/>
      <c r="BJ10" s="213"/>
    </row>
    <row r="11" spans="1:62" ht="15.6">
      <c r="A11" s="170">
        <v>3</v>
      </c>
      <c r="B11" s="327">
        <v>312.10000000000002</v>
      </c>
      <c r="C11" s="324"/>
      <c r="D11" s="905">
        <v>0</v>
      </c>
      <c r="E11" s="905">
        <v>0</v>
      </c>
      <c r="F11" s="905">
        <v>0</v>
      </c>
      <c r="G11" s="905">
        <v>0</v>
      </c>
      <c r="H11" s="905">
        <v>0</v>
      </c>
      <c r="I11" s="905">
        <v>0</v>
      </c>
      <c r="J11" s="905">
        <v>0</v>
      </c>
      <c r="K11" s="905">
        <v>0</v>
      </c>
      <c r="L11" s="905">
        <v>0</v>
      </c>
      <c r="M11" s="905">
        <v>0</v>
      </c>
      <c r="N11" s="905">
        <v>0</v>
      </c>
      <c r="O11" s="905">
        <v>0</v>
      </c>
      <c r="P11" s="339"/>
      <c r="Q11" s="253"/>
      <c r="S11" s="277"/>
      <c r="T11" s="277"/>
      <c r="U11" s="216"/>
      <c r="V11" s="308"/>
      <c r="W11" s="309"/>
      <c r="X11" s="309"/>
      <c r="Y11" s="309"/>
      <c r="Z11" s="309"/>
      <c r="AA11" s="309"/>
      <c r="AB11" s="309"/>
      <c r="AC11" s="309"/>
      <c r="AD11" s="309"/>
      <c r="AE11" s="309"/>
      <c r="AF11" s="309"/>
      <c r="AG11" s="309"/>
      <c r="AH11" s="309"/>
      <c r="AI11" s="308"/>
      <c r="AJ11" s="216"/>
      <c r="AK11" s="304"/>
      <c r="AL11" s="303"/>
      <c r="AM11" s="216"/>
      <c r="AN11" s="304"/>
      <c r="AO11" s="303"/>
      <c r="AP11" s="303"/>
      <c r="AQ11" s="303"/>
      <c r="AR11" s="304"/>
      <c r="AS11" s="303"/>
      <c r="AT11" s="303"/>
      <c r="AU11" s="303"/>
      <c r="AV11" s="304"/>
      <c r="AW11" s="213"/>
      <c r="AX11" s="213"/>
      <c r="AY11" s="213"/>
      <c r="AZ11" s="213"/>
      <c r="BA11" s="213"/>
      <c r="BB11" s="213"/>
      <c r="BC11" s="213"/>
      <c r="BD11" s="213"/>
      <c r="BE11" s="213"/>
      <c r="BF11" s="213"/>
      <c r="BG11" s="213"/>
      <c r="BH11" s="213"/>
      <c r="BI11" s="213"/>
      <c r="BJ11" s="213"/>
    </row>
    <row r="12" spans="1:62" ht="15.6">
      <c r="A12" s="170">
        <v>4</v>
      </c>
      <c r="B12" s="327">
        <v>312.2</v>
      </c>
      <c r="C12" s="324"/>
      <c r="D12" s="905">
        <v>0</v>
      </c>
      <c r="E12" s="905">
        <v>0</v>
      </c>
      <c r="F12" s="905">
        <v>0</v>
      </c>
      <c r="G12" s="905">
        <v>0</v>
      </c>
      <c r="H12" s="905">
        <v>0</v>
      </c>
      <c r="I12" s="905">
        <v>0</v>
      </c>
      <c r="J12" s="905">
        <v>0</v>
      </c>
      <c r="K12" s="905">
        <v>0</v>
      </c>
      <c r="L12" s="905">
        <v>0</v>
      </c>
      <c r="M12" s="905">
        <v>0</v>
      </c>
      <c r="N12" s="905">
        <v>0</v>
      </c>
      <c r="O12" s="905">
        <v>0</v>
      </c>
      <c r="P12" s="339"/>
      <c r="Q12" s="253"/>
      <c r="S12" s="277"/>
      <c r="T12" s="277"/>
      <c r="U12" s="303"/>
      <c r="V12" s="308"/>
      <c r="W12" s="308"/>
      <c r="X12" s="308"/>
      <c r="Y12" s="308"/>
      <c r="Z12" s="308"/>
      <c r="AA12" s="308"/>
      <c r="AB12" s="308"/>
      <c r="AC12" s="308"/>
      <c r="AD12" s="308"/>
      <c r="AE12" s="308"/>
      <c r="AF12" s="308"/>
      <c r="AG12" s="308"/>
      <c r="AH12" s="308"/>
      <c r="AI12" s="308"/>
      <c r="AJ12" s="216"/>
      <c r="AK12" s="304"/>
      <c r="AL12" s="303"/>
      <c r="AM12" s="216"/>
      <c r="AN12" s="304"/>
      <c r="AO12" s="303"/>
      <c r="AP12" s="303"/>
      <c r="AQ12" s="303"/>
      <c r="AR12" s="304"/>
      <c r="AS12" s="303"/>
      <c r="AT12" s="303"/>
      <c r="AU12" s="303"/>
      <c r="AV12" s="304"/>
      <c r="AW12" s="213"/>
      <c r="AX12" s="213"/>
      <c r="AY12" s="213"/>
      <c r="AZ12" s="213"/>
      <c r="BA12" s="213"/>
      <c r="BB12" s="213"/>
      <c r="BC12" s="213"/>
      <c r="BD12" s="213"/>
      <c r="BE12" s="213"/>
      <c r="BF12" s="213"/>
      <c r="BG12" s="213"/>
      <c r="BH12" s="213"/>
      <c r="BI12" s="213"/>
      <c r="BJ12" s="213"/>
    </row>
    <row r="13" spans="1:62" ht="15.6">
      <c r="A13" s="170">
        <v>5</v>
      </c>
      <c r="B13" s="327">
        <v>314</v>
      </c>
      <c r="C13" s="324"/>
      <c r="D13" s="905">
        <v>0</v>
      </c>
      <c r="E13" s="905">
        <v>0</v>
      </c>
      <c r="F13" s="905">
        <v>0</v>
      </c>
      <c r="G13" s="905">
        <v>0</v>
      </c>
      <c r="H13" s="905">
        <v>0</v>
      </c>
      <c r="I13" s="905">
        <v>0</v>
      </c>
      <c r="J13" s="905">
        <v>0</v>
      </c>
      <c r="K13" s="905">
        <v>0</v>
      </c>
      <c r="L13" s="905">
        <v>0</v>
      </c>
      <c r="M13" s="905">
        <v>0</v>
      </c>
      <c r="N13" s="905">
        <v>0</v>
      </c>
      <c r="O13" s="905">
        <v>0</v>
      </c>
      <c r="P13" s="339"/>
      <c r="Q13" s="253"/>
      <c r="S13" s="277"/>
      <c r="T13" s="277"/>
      <c r="U13" s="303"/>
      <c r="V13" s="308"/>
      <c r="W13" s="308"/>
      <c r="X13" s="308"/>
      <c r="Y13" s="308"/>
      <c r="Z13" s="308"/>
      <c r="AA13" s="308"/>
      <c r="AB13" s="308"/>
      <c r="AC13" s="308"/>
      <c r="AD13" s="308"/>
      <c r="AE13" s="308"/>
      <c r="AF13" s="308"/>
      <c r="AG13" s="308"/>
      <c r="AH13" s="308"/>
      <c r="AI13" s="308"/>
      <c r="AJ13" s="216"/>
      <c r="AK13" s="304"/>
      <c r="AL13" s="303"/>
      <c r="AM13" s="216"/>
      <c r="AN13" s="304"/>
      <c r="AO13" s="303"/>
      <c r="AP13" s="303"/>
      <c r="AQ13" s="303"/>
      <c r="AR13" s="304"/>
      <c r="AS13" s="303"/>
      <c r="AT13" s="303"/>
      <c r="AU13" s="303"/>
      <c r="AV13" s="304"/>
      <c r="AW13" s="213"/>
      <c r="AX13" s="213"/>
      <c r="AY13" s="213"/>
      <c r="AZ13" s="213"/>
      <c r="BA13" s="213"/>
      <c r="BB13" s="213"/>
      <c r="BC13" s="213"/>
      <c r="BD13" s="213"/>
      <c r="BE13" s="213"/>
      <c r="BF13" s="213"/>
      <c r="BG13" s="213"/>
      <c r="BH13" s="213"/>
      <c r="BI13" s="213"/>
      <c r="BJ13" s="213"/>
    </row>
    <row r="14" spans="1:62" ht="15.6">
      <c r="A14" s="170">
        <v>6</v>
      </c>
      <c r="B14" s="327">
        <v>315</v>
      </c>
      <c r="C14" s="324"/>
      <c r="D14" s="905">
        <v>0</v>
      </c>
      <c r="E14" s="905">
        <v>0</v>
      </c>
      <c r="F14" s="905">
        <v>0</v>
      </c>
      <c r="G14" s="905">
        <v>0</v>
      </c>
      <c r="H14" s="905">
        <v>0</v>
      </c>
      <c r="I14" s="905">
        <v>0</v>
      </c>
      <c r="J14" s="905">
        <v>0</v>
      </c>
      <c r="K14" s="905">
        <v>0</v>
      </c>
      <c r="L14" s="905">
        <v>0</v>
      </c>
      <c r="M14" s="905">
        <v>0</v>
      </c>
      <c r="N14" s="905">
        <v>0</v>
      </c>
      <c r="O14" s="905">
        <v>0</v>
      </c>
      <c r="P14" s="339"/>
      <c r="Q14" s="253"/>
      <c r="S14" s="277"/>
      <c r="T14" s="277"/>
      <c r="U14" s="216"/>
      <c r="V14" s="308"/>
      <c r="W14" s="308"/>
      <c r="X14" s="308"/>
      <c r="Y14" s="308"/>
      <c r="Z14" s="308"/>
      <c r="AA14" s="308"/>
      <c r="AB14" s="308"/>
      <c r="AC14" s="308"/>
      <c r="AD14" s="308"/>
      <c r="AE14" s="308"/>
      <c r="AF14" s="308"/>
      <c r="AG14" s="308"/>
      <c r="AH14" s="308"/>
      <c r="AI14" s="308"/>
      <c r="AJ14" s="216"/>
      <c r="AK14" s="304"/>
      <c r="AL14" s="303"/>
      <c r="AM14" s="216"/>
      <c r="AN14" s="304"/>
      <c r="AO14" s="303"/>
      <c r="AP14" s="303"/>
      <c r="AQ14" s="303"/>
      <c r="AR14" s="304"/>
      <c r="AS14" s="303"/>
      <c r="AT14" s="303"/>
      <c r="AU14" s="303"/>
      <c r="AV14" s="304"/>
      <c r="AW14" s="213"/>
      <c r="AX14" s="213"/>
      <c r="AY14" s="213"/>
      <c r="AZ14" s="213"/>
      <c r="BA14" s="213"/>
      <c r="BB14" s="213"/>
      <c r="BC14" s="213"/>
      <c r="BD14" s="213"/>
      <c r="BE14" s="213"/>
      <c r="BF14" s="213"/>
      <c r="BG14" s="213"/>
      <c r="BH14" s="213"/>
      <c r="BI14" s="213"/>
      <c r="BJ14" s="213"/>
    </row>
    <row r="15" spans="1:62" ht="15.6">
      <c r="A15" s="170">
        <v>7</v>
      </c>
      <c r="B15" s="327">
        <v>316</v>
      </c>
      <c r="C15" s="324"/>
      <c r="D15" s="905">
        <v>0</v>
      </c>
      <c r="E15" s="905">
        <v>0</v>
      </c>
      <c r="F15" s="905">
        <v>0</v>
      </c>
      <c r="G15" s="905">
        <v>0</v>
      </c>
      <c r="H15" s="905">
        <v>0</v>
      </c>
      <c r="I15" s="905">
        <v>0</v>
      </c>
      <c r="J15" s="905">
        <v>0</v>
      </c>
      <c r="K15" s="905">
        <v>0</v>
      </c>
      <c r="L15" s="905">
        <v>0</v>
      </c>
      <c r="M15" s="905">
        <v>0</v>
      </c>
      <c r="N15" s="905">
        <v>0</v>
      </c>
      <c r="O15" s="905">
        <v>0</v>
      </c>
      <c r="P15" s="339"/>
      <c r="Q15" s="253"/>
      <c r="S15" s="277"/>
      <c r="T15" s="277"/>
      <c r="U15" s="216"/>
      <c r="V15" s="308"/>
      <c r="W15" s="309"/>
      <c r="X15" s="309"/>
      <c r="Y15" s="309"/>
      <c r="Z15" s="309"/>
      <c r="AA15" s="309"/>
      <c r="AB15" s="309"/>
      <c r="AC15" s="309"/>
      <c r="AD15" s="309"/>
      <c r="AE15" s="309"/>
      <c r="AF15" s="309"/>
      <c r="AG15" s="309"/>
      <c r="AH15" s="309"/>
      <c r="AI15" s="308"/>
      <c r="AJ15" s="216"/>
      <c r="AK15" s="304"/>
      <c r="AL15" s="303"/>
      <c r="AM15" s="216"/>
      <c r="AN15" s="304"/>
      <c r="AO15" s="303"/>
      <c r="AP15" s="303"/>
      <c r="AQ15" s="303"/>
      <c r="AR15" s="304"/>
      <c r="AS15" s="303"/>
      <c r="AT15" s="303"/>
      <c r="AU15" s="303"/>
      <c r="AV15" s="304"/>
      <c r="AW15" s="213"/>
      <c r="AX15" s="213"/>
      <c r="AY15" s="213"/>
      <c r="AZ15" s="213"/>
      <c r="BA15" s="213"/>
      <c r="BB15" s="213"/>
      <c r="BC15" s="213"/>
      <c r="BD15" s="213"/>
      <c r="BE15" s="213"/>
      <c r="BF15" s="213"/>
      <c r="BG15" s="213"/>
      <c r="BH15" s="213"/>
      <c r="BI15" s="213"/>
      <c r="BJ15" s="213"/>
    </row>
    <row r="16" spans="1:62" ht="15.6">
      <c r="A16" s="355"/>
      <c r="B16" s="336"/>
      <c r="C16" s="287"/>
      <c r="D16" s="602"/>
      <c r="E16" s="602"/>
      <c r="F16" s="602"/>
      <c r="G16" s="602"/>
      <c r="H16" s="602"/>
      <c r="I16" s="602"/>
      <c r="J16" s="602"/>
      <c r="K16" s="602"/>
      <c r="L16" s="602"/>
      <c r="M16" s="602"/>
      <c r="N16" s="602"/>
      <c r="O16" s="602"/>
      <c r="P16" s="339"/>
      <c r="Q16" s="253"/>
      <c r="S16" s="277"/>
      <c r="T16" s="277"/>
      <c r="U16" s="303"/>
      <c r="V16" s="308"/>
      <c r="W16" s="308"/>
      <c r="X16" s="308"/>
      <c r="Y16" s="308"/>
      <c r="Z16" s="308"/>
      <c r="AA16" s="308"/>
      <c r="AB16" s="308"/>
      <c r="AC16" s="308"/>
      <c r="AD16" s="308"/>
      <c r="AE16" s="308"/>
      <c r="AF16" s="308"/>
      <c r="AG16" s="308"/>
      <c r="AH16" s="308"/>
      <c r="AI16" s="308"/>
      <c r="AJ16" s="216"/>
      <c r="AK16" s="304"/>
      <c r="AL16" s="303"/>
      <c r="AM16" s="216"/>
      <c r="AN16" s="304"/>
      <c r="AO16" s="303"/>
      <c r="AP16" s="303"/>
      <c r="AQ16" s="303"/>
      <c r="AR16" s="304"/>
      <c r="AS16" s="303"/>
      <c r="AT16" s="303"/>
      <c r="AU16" s="303"/>
      <c r="AV16" s="304"/>
      <c r="AW16" s="213"/>
      <c r="AX16" s="213"/>
      <c r="AY16" s="213"/>
      <c r="AZ16" s="213"/>
      <c r="BA16" s="213"/>
      <c r="BB16" s="213"/>
      <c r="BC16" s="213"/>
      <c r="BD16" s="213"/>
      <c r="BE16" s="213"/>
      <c r="BF16" s="213"/>
      <c r="BG16" s="213"/>
      <c r="BH16" s="213"/>
      <c r="BI16" s="213"/>
      <c r="BJ16" s="213"/>
    </row>
    <row r="17" spans="1:62" ht="18.600000000000001">
      <c r="A17" s="355"/>
      <c r="B17" s="355" t="s">
        <v>1078</v>
      </c>
      <c r="C17" s="334" t="s">
        <v>727</v>
      </c>
      <c r="D17" s="1778" t="s">
        <v>728</v>
      </c>
      <c r="E17" s="1779"/>
      <c r="F17" s="1779"/>
      <c r="G17" s="1779"/>
      <c r="H17" s="1779"/>
      <c r="I17" s="1779"/>
      <c r="J17" s="1779"/>
      <c r="K17" s="1779"/>
      <c r="L17" s="1779"/>
      <c r="M17" s="1779"/>
      <c r="N17" s="1779"/>
      <c r="O17" s="1779"/>
      <c r="P17" s="1779"/>
      <c r="Q17" s="253"/>
      <c r="S17" s="277"/>
      <c r="T17" s="277"/>
      <c r="U17" s="303"/>
      <c r="V17" s="308"/>
      <c r="W17" s="308"/>
      <c r="X17" s="308"/>
      <c r="Y17" s="308"/>
      <c r="Z17" s="308"/>
      <c r="AA17" s="308"/>
      <c r="AB17" s="308"/>
      <c r="AC17" s="308"/>
      <c r="AD17" s="308"/>
      <c r="AE17" s="308"/>
      <c r="AF17" s="308"/>
      <c r="AG17" s="308"/>
      <c r="AH17" s="308"/>
      <c r="AI17" s="308"/>
      <c r="AJ17" s="216"/>
      <c r="AK17" s="304"/>
      <c r="AL17" s="303"/>
      <c r="AM17" s="216"/>
      <c r="AN17" s="304"/>
      <c r="AO17" s="303"/>
      <c r="AP17" s="303"/>
      <c r="AQ17" s="303"/>
      <c r="AR17" s="304"/>
      <c r="AS17" s="303"/>
      <c r="AT17" s="303"/>
      <c r="AU17" s="303"/>
      <c r="AV17" s="304"/>
      <c r="AW17" s="213"/>
      <c r="AX17" s="213"/>
      <c r="AY17" s="213"/>
      <c r="AZ17" s="213"/>
      <c r="BA17" s="213"/>
      <c r="BB17" s="213"/>
      <c r="BC17" s="213"/>
      <c r="BD17" s="213"/>
      <c r="BE17" s="213"/>
      <c r="BF17" s="213"/>
      <c r="BG17" s="213"/>
      <c r="BH17" s="213"/>
      <c r="BI17" s="213"/>
      <c r="BJ17" s="213"/>
    </row>
    <row r="18" spans="1:62" ht="18.600000000000001">
      <c r="A18" s="322"/>
      <c r="B18" s="322" t="s">
        <v>928</v>
      </c>
      <c r="C18" s="335" t="s">
        <v>729</v>
      </c>
      <c r="D18" s="358" t="s">
        <v>716</v>
      </c>
      <c r="E18" s="358" t="s">
        <v>717</v>
      </c>
      <c r="F18" s="358" t="s">
        <v>718</v>
      </c>
      <c r="G18" s="358" t="s">
        <v>719</v>
      </c>
      <c r="H18" s="358" t="s">
        <v>720</v>
      </c>
      <c r="I18" s="358" t="s">
        <v>721</v>
      </c>
      <c r="J18" s="358" t="s">
        <v>722</v>
      </c>
      <c r="K18" s="358" t="s">
        <v>723</v>
      </c>
      <c r="L18" s="358" t="s">
        <v>724</v>
      </c>
      <c r="M18" s="358" t="s">
        <v>725</v>
      </c>
      <c r="N18" s="358" t="s">
        <v>726</v>
      </c>
      <c r="O18" s="358" t="s">
        <v>715</v>
      </c>
      <c r="P18" s="360" t="s">
        <v>468</v>
      </c>
      <c r="Q18" s="253"/>
      <c r="S18" s="277"/>
      <c r="T18" s="277"/>
      <c r="U18" s="216"/>
      <c r="V18" s="308"/>
      <c r="W18" s="308"/>
      <c r="X18" s="308"/>
      <c r="Y18" s="308"/>
      <c r="Z18" s="308"/>
      <c r="AA18" s="308"/>
      <c r="AB18" s="308"/>
      <c r="AC18" s="308"/>
      <c r="AD18" s="308"/>
      <c r="AE18" s="308"/>
      <c r="AF18" s="308"/>
      <c r="AG18" s="308"/>
      <c r="AH18" s="308"/>
      <c r="AI18" s="308"/>
      <c r="AJ18" s="216"/>
      <c r="AK18" s="304"/>
      <c r="AL18" s="303"/>
      <c r="AM18" s="216"/>
      <c r="AN18" s="304"/>
      <c r="AO18" s="303"/>
      <c r="AP18" s="303"/>
      <c r="AQ18" s="303"/>
      <c r="AR18" s="304"/>
      <c r="AS18" s="303"/>
      <c r="AT18" s="303"/>
      <c r="AU18" s="303"/>
      <c r="AV18" s="304"/>
      <c r="AW18" s="213"/>
      <c r="AX18" s="213"/>
      <c r="AY18" s="213"/>
      <c r="AZ18" s="213"/>
      <c r="BA18" s="213"/>
      <c r="BB18" s="213"/>
      <c r="BC18" s="213"/>
      <c r="BD18" s="213"/>
      <c r="BE18" s="213"/>
      <c r="BF18" s="213"/>
      <c r="BG18" s="213"/>
      <c r="BH18" s="213"/>
      <c r="BI18" s="213"/>
      <c r="BJ18" s="213"/>
    </row>
    <row r="19" spans="1:62" ht="15.6">
      <c r="A19" s="170">
        <f>A15+1</f>
        <v>8</v>
      </c>
      <c r="B19" s="327">
        <f>B9</f>
        <v>311</v>
      </c>
      <c r="C19" s="906"/>
      <c r="D19" s="603">
        <f>D9*$C19/100/12</f>
        <v>0</v>
      </c>
      <c r="E19" s="603">
        <f t="shared" ref="E19:O19" si="0">E9*$C19/100/12</f>
        <v>0</v>
      </c>
      <c r="F19" s="603">
        <f t="shared" si="0"/>
        <v>0</v>
      </c>
      <c r="G19" s="603">
        <f t="shared" si="0"/>
        <v>0</v>
      </c>
      <c r="H19" s="603">
        <f t="shared" si="0"/>
        <v>0</v>
      </c>
      <c r="I19" s="603">
        <f t="shared" si="0"/>
        <v>0</v>
      </c>
      <c r="J19" s="603">
        <f t="shared" si="0"/>
        <v>0</v>
      </c>
      <c r="K19" s="603">
        <f t="shared" si="0"/>
        <v>0</v>
      </c>
      <c r="L19" s="603">
        <f t="shared" si="0"/>
        <v>0</v>
      </c>
      <c r="M19" s="603">
        <f t="shared" si="0"/>
        <v>0</v>
      </c>
      <c r="N19" s="603">
        <f t="shared" si="0"/>
        <v>0</v>
      </c>
      <c r="O19" s="603">
        <f t="shared" si="0"/>
        <v>0</v>
      </c>
      <c r="P19" s="333">
        <f>SUM(D19:O19)</f>
        <v>0</v>
      </c>
      <c r="Q19" s="253"/>
      <c r="S19" s="277"/>
      <c r="T19" s="277"/>
      <c r="U19" s="216"/>
      <c r="V19" s="308"/>
      <c r="W19" s="309"/>
      <c r="X19" s="309"/>
      <c r="Y19" s="309"/>
      <c r="Z19" s="309"/>
      <c r="AA19" s="309"/>
      <c r="AB19" s="309"/>
      <c r="AC19" s="309"/>
      <c r="AD19" s="309"/>
      <c r="AE19" s="309"/>
      <c r="AF19" s="309"/>
      <c r="AG19" s="309"/>
      <c r="AH19" s="309"/>
      <c r="AI19" s="308"/>
      <c r="AJ19" s="216"/>
      <c r="AK19" s="304"/>
      <c r="AL19" s="303"/>
      <c r="AM19" s="216"/>
      <c r="AN19" s="304"/>
      <c r="AO19" s="303"/>
      <c r="AP19" s="303"/>
      <c r="AQ19" s="303"/>
      <c r="AR19" s="304"/>
      <c r="AS19" s="303"/>
      <c r="AT19" s="303"/>
      <c r="AU19" s="303"/>
      <c r="AV19" s="304"/>
      <c r="AW19" s="213"/>
      <c r="AX19" s="213"/>
      <c r="AY19" s="213"/>
      <c r="AZ19" s="213"/>
      <c r="BA19" s="213"/>
      <c r="BB19" s="213"/>
      <c r="BC19" s="213"/>
      <c r="BD19" s="213"/>
      <c r="BE19" s="213"/>
      <c r="BF19" s="213"/>
      <c r="BG19" s="213"/>
      <c r="BH19" s="213"/>
      <c r="BI19" s="213"/>
      <c r="BJ19" s="213"/>
    </row>
    <row r="20" spans="1:62" ht="15.6">
      <c r="A20" s="170">
        <f t="shared" ref="A20:A25" si="1">A19+1</f>
        <v>9</v>
      </c>
      <c r="B20" s="327">
        <f t="shared" ref="B20:B25" si="2">B10</f>
        <v>312</v>
      </c>
      <c r="C20" s="906"/>
      <c r="D20" s="603">
        <f t="shared" ref="D20:O25" si="3">D10*$C20/100/12</f>
        <v>0</v>
      </c>
      <c r="E20" s="603">
        <f t="shared" si="3"/>
        <v>0</v>
      </c>
      <c r="F20" s="603">
        <f t="shared" si="3"/>
        <v>0</v>
      </c>
      <c r="G20" s="603">
        <f t="shared" si="3"/>
        <v>0</v>
      </c>
      <c r="H20" s="603">
        <f t="shared" si="3"/>
        <v>0</v>
      </c>
      <c r="I20" s="603">
        <f t="shared" si="3"/>
        <v>0</v>
      </c>
      <c r="J20" s="603">
        <f t="shared" si="3"/>
        <v>0</v>
      </c>
      <c r="K20" s="603">
        <f t="shared" si="3"/>
        <v>0</v>
      </c>
      <c r="L20" s="603">
        <f t="shared" si="3"/>
        <v>0</v>
      </c>
      <c r="M20" s="603">
        <f t="shared" si="3"/>
        <v>0</v>
      </c>
      <c r="N20" s="603">
        <f t="shared" si="3"/>
        <v>0</v>
      </c>
      <c r="O20" s="603">
        <f t="shared" si="3"/>
        <v>0</v>
      </c>
      <c r="P20" s="333">
        <f t="shared" ref="P20:P25" si="4">SUM(D20:O20)</f>
        <v>0</v>
      </c>
      <c r="Q20" s="253"/>
      <c r="S20" s="277"/>
      <c r="T20" s="277"/>
      <c r="U20" s="303"/>
      <c r="V20" s="308"/>
      <c r="W20" s="308"/>
      <c r="X20" s="308"/>
      <c r="Y20" s="308"/>
      <c r="Z20" s="308"/>
      <c r="AA20" s="308"/>
      <c r="AB20" s="308"/>
      <c r="AC20" s="308"/>
      <c r="AD20" s="308"/>
      <c r="AE20" s="308"/>
      <c r="AF20" s="308"/>
      <c r="AG20" s="308"/>
      <c r="AH20" s="308"/>
      <c r="AI20" s="308"/>
      <c r="AJ20" s="216"/>
      <c r="AK20" s="304"/>
      <c r="AL20" s="303"/>
      <c r="AM20" s="216"/>
      <c r="AN20" s="304"/>
      <c r="AO20" s="303"/>
      <c r="AP20" s="303"/>
      <c r="AQ20" s="303"/>
      <c r="AR20" s="304"/>
      <c r="AS20" s="303"/>
      <c r="AT20" s="303"/>
      <c r="AU20" s="303"/>
      <c r="AV20" s="304"/>
      <c r="AW20" s="213"/>
      <c r="AX20" s="213"/>
      <c r="AY20" s="213"/>
      <c r="AZ20" s="213"/>
      <c r="BA20" s="213"/>
      <c r="BB20" s="213"/>
      <c r="BC20" s="213"/>
      <c r="BD20" s="213"/>
      <c r="BE20" s="213"/>
      <c r="BF20" s="213"/>
      <c r="BG20" s="213"/>
      <c r="BH20" s="213"/>
      <c r="BI20" s="213"/>
      <c r="BJ20" s="213"/>
    </row>
    <row r="21" spans="1:62" ht="15.6">
      <c r="A21" s="170">
        <f t="shared" si="1"/>
        <v>10</v>
      </c>
      <c r="B21" s="327">
        <f t="shared" si="2"/>
        <v>312.10000000000002</v>
      </c>
      <c r="C21" s="906"/>
      <c r="D21" s="603">
        <f t="shared" si="3"/>
        <v>0</v>
      </c>
      <c r="E21" s="603">
        <f t="shared" si="3"/>
        <v>0</v>
      </c>
      <c r="F21" s="603">
        <f t="shared" si="3"/>
        <v>0</v>
      </c>
      <c r="G21" s="603">
        <f t="shared" si="3"/>
        <v>0</v>
      </c>
      <c r="H21" s="603">
        <f t="shared" si="3"/>
        <v>0</v>
      </c>
      <c r="I21" s="603">
        <f t="shared" si="3"/>
        <v>0</v>
      </c>
      <c r="J21" s="603">
        <f t="shared" si="3"/>
        <v>0</v>
      </c>
      <c r="K21" s="603">
        <f t="shared" si="3"/>
        <v>0</v>
      </c>
      <c r="L21" s="603">
        <f t="shared" si="3"/>
        <v>0</v>
      </c>
      <c r="M21" s="603">
        <f t="shared" si="3"/>
        <v>0</v>
      </c>
      <c r="N21" s="603">
        <f t="shared" si="3"/>
        <v>0</v>
      </c>
      <c r="O21" s="603">
        <f t="shared" si="3"/>
        <v>0</v>
      </c>
      <c r="P21" s="333">
        <f t="shared" si="4"/>
        <v>0</v>
      </c>
      <c r="Q21" s="253"/>
      <c r="S21" s="277"/>
      <c r="T21" s="277"/>
      <c r="U21" s="303"/>
      <c r="V21" s="308"/>
      <c r="W21" s="308"/>
      <c r="X21" s="308"/>
      <c r="Y21" s="308"/>
      <c r="Z21" s="308"/>
      <c r="AA21" s="308"/>
      <c r="AB21" s="308"/>
      <c r="AC21" s="308"/>
      <c r="AD21" s="308"/>
      <c r="AE21" s="308"/>
      <c r="AF21" s="308"/>
      <c r="AG21" s="308"/>
      <c r="AH21" s="308"/>
      <c r="AI21" s="308"/>
      <c r="AJ21" s="216"/>
      <c r="AK21" s="304"/>
      <c r="AL21" s="303"/>
      <c r="AM21" s="216"/>
      <c r="AN21" s="304"/>
      <c r="AO21" s="303"/>
      <c r="AP21" s="303"/>
      <c r="AQ21" s="303"/>
      <c r="AR21" s="304"/>
      <c r="AS21" s="303"/>
      <c r="AT21" s="303"/>
      <c r="AU21" s="303"/>
      <c r="AV21" s="304"/>
      <c r="AW21" s="213"/>
      <c r="AX21" s="213"/>
      <c r="AY21" s="213"/>
      <c r="AZ21" s="213"/>
      <c r="BA21" s="213"/>
      <c r="BB21" s="213"/>
      <c r="BC21" s="213"/>
      <c r="BD21" s="213"/>
      <c r="BE21" s="213"/>
      <c r="BF21" s="213"/>
      <c r="BG21" s="213"/>
      <c r="BH21" s="213"/>
      <c r="BI21" s="213"/>
      <c r="BJ21" s="213"/>
    </row>
    <row r="22" spans="1:62" ht="15.6">
      <c r="A22" s="170">
        <f t="shared" si="1"/>
        <v>11</v>
      </c>
      <c r="B22" s="327">
        <f t="shared" si="2"/>
        <v>312.2</v>
      </c>
      <c r="C22" s="906"/>
      <c r="D22" s="603">
        <f t="shared" si="3"/>
        <v>0</v>
      </c>
      <c r="E22" s="603">
        <f t="shared" si="3"/>
        <v>0</v>
      </c>
      <c r="F22" s="603">
        <f t="shared" si="3"/>
        <v>0</v>
      </c>
      <c r="G22" s="603">
        <f t="shared" si="3"/>
        <v>0</v>
      </c>
      <c r="H22" s="603">
        <f t="shared" si="3"/>
        <v>0</v>
      </c>
      <c r="I22" s="603">
        <f t="shared" si="3"/>
        <v>0</v>
      </c>
      <c r="J22" s="603">
        <f t="shared" si="3"/>
        <v>0</v>
      </c>
      <c r="K22" s="603">
        <f t="shared" si="3"/>
        <v>0</v>
      </c>
      <c r="L22" s="603">
        <f t="shared" si="3"/>
        <v>0</v>
      </c>
      <c r="M22" s="603">
        <f t="shared" si="3"/>
        <v>0</v>
      </c>
      <c r="N22" s="603">
        <f t="shared" si="3"/>
        <v>0</v>
      </c>
      <c r="O22" s="603">
        <f t="shared" si="3"/>
        <v>0</v>
      </c>
      <c r="P22" s="333">
        <f t="shared" si="4"/>
        <v>0</v>
      </c>
      <c r="Q22" s="253"/>
      <c r="S22" s="277"/>
      <c r="T22" s="277"/>
      <c r="U22" s="216"/>
      <c r="V22" s="308"/>
      <c r="W22" s="308"/>
      <c r="X22" s="308"/>
      <c r="Y22" s="308"/>
      <c r="Z22" s="308"/>
      <c r="AA22" s="308"/>
      <c r="AB22" s="308"/>
      <c r="AC22" s="308"/>
      <c r="AD22" s="308"/>
      <c r="AE22" s="308"/>
      <c r="AF22" s="308"/>
      <c r="AG22" s="308"/>
      <c r="AH22" s="308"/>
      <c r="AI22" s="308"/>
      <c r="AJ22" s="216"/>
      <c r="AK22" s="304"/>
      <c r="AL22" s="303"/>
      <c r="AM22" s="216"/>
      <c r="AN22" s="304"/>
      <c r="AO22" s="303"/>
      <c r="AP22" s="303"/>
      <c r="AQ22" s="303"/>
      <c r="AR22" s="304"/>
      <c r="AS22" s="303"/>
      <c r="AT22" s="303"/>
      <c r="AU22" s="303"/>
      <c r="AV22" s="304"/>
      <c r="AW22" s="213"/>
      <c r="AX22" s="213"/>
      <c r="AY22" s="213"/>
      <c r="AZ22" s="213"/>
      <c r="BA22" s="213"/>
      <c r="BB22" s="213"/>
      <c r="BC22" s="213"/>
      <c r="BD22" s="213"/>
      <c r="BE22" s="213"/>
      <c r="BF22" s="213"/>
      <c r="BG22" s="213"/>
      <c r="BH22" s="213"/>
      <c r="BI22" s="213"/>
      <c r="BJ22" s="213"/>
    </row>
    <row r="23" spans="1:62" ht="15.6">
      <c r="A23" s="170">
        <f t="shared" si="1"/>
        <v>12</v>
      </c>
      <c r="B23" s="327">
        <f t="shared" si="2"/>
        <v>314</v>
      </c>
      <c r="C23" s="906"/>
      <c r="D23" s="603">
        <f t="shared" si="3"/>
        <v>0</v>
      </c>
      <c r="E23" s="603">
        <f t="shared" si="3"/>
        <v>0</v>
      </c>
      <c r="F23" s="603">
        <f t="shared" si="3"/>
        <v>0</v>
      </c>
      <c r="G23" s="603">
        <f t="shared" si="3"/>
        <v>0</v>
      </c>
      <c r="H23" s="603">
        <f t="shared" si="3"/>
        <v>0</v>
      </c>
      <c r="I23" s="603">
        <f t="shared" si="3"/>
        <v>0</v>
      </c>
      <c r="J23" s="603">
        <f t="shared" si="3"/>
        <v>0</v>
      </c>
      <c r="K23" s="603">
        <f t="shared" si="3"/>
        <v>0</v>
      </c>
      <c r="L23" s="603">
        <f t="shared" si="3"/>
        <v>0</v>
      </c>
      <c r="M23" s="603">
        <f t="shared" si="3"/>
        <v>0</v>
      </c>
      <c r="N23" s="603">
        <f t="shared" si="3"/>
        <v>0</v>
      </c>
      <c r="O23" s="603">
        <f t="shared" si="3"/>
        <v>0</v>
      </c>
      <c r="P23" s="333">
        <f t="shared" si="4"/>
        <v>0</v>
      </c>
      <c r="Q23" s="253"/>
      <c r="S23" s="277"/>
      <c r="T23" s="277"/>
      <c r="U23" s="216"/>
      <c r="V23" s="308"/>
      <c r="W23" s="309"/>
      <c r="X23" s="309"/>
      <c r="Y23" s="309"/>
      <c r="Z23" s="309"/>
      <c r="AA23" s="309"/>
      <c r="AB23" s="309"/>
      <c r="AC23" s="309"/>
      <c r="AD23" s="309"/>
      <c r="AE23" s="309"/>
      <c r="AF23" s="309"/>
      <c r="AG23" s="309"/>
      <c r="AH23" s="309"/>
      <c r="AI23" s="309"/>
      <c r="AJ23" s="216"/>
      <c r="AK23" s="304"/>
      <c r="AL23" s="303"/>
      <c r="AM23" s="216"/>
      <c r="AN23" s="304"/>
      <c r="AO23" s="303"/>
      <c r="AP23" s="303"/>
      <c r="AQ23" s="303"/>
      <c r="AR23" s="304"/>
      <c r="AS23" s="303"/>
      <c r="AT23" s="303"/>
      <c r="AU23" s="303"/>
      <c r="AV23" s="304"/>
      <c r="AW23" s="213"/>
      <c r="AX23" s="213"/>
      <c r="AY23" s="213"/>
      <c r="AZ23" s="213"/>
      <c r="BA23" s="213"/>
      <c r="BB23" s="213"/>
      <c r="BC23" s="213"/>
      <c r="BD23" s="213"/>
      <c r="BE23" s="213"/>
      <c r="BF23" s="213"/>
      <c r="BG23" s="213"/>
      <c r="BH23" s="213"/>
      <c r="BI23" s="213"/>
      <c r="BJ23" s="213"/>
    </row>
    <row r="24" spans="1:62" ht="15.6">
      <c r="A24" s="170">
        <f t="shared" si="1"/>
        <v>13</v>
      </c>
      <c r="B24" s="327">
        <f t="shared" si="2"/>
        <v>315</v>
      </c>
      <c r="C24" s="906"/>
      <c r="D24" s="603">
        <f t="shared" si="3"/>
        <v>0</v>
      </c>
      <c r="E24" s="603">
        <f t="shared" si="3"/>
        <v>0</v>
      </c>
      <c r="F24" s="603">
        <f t="shared" si="3"/>
        <v>0</v>
      </c>
      <c r="G24" s="603">
        <f t="shared" si="3"/>
        <v>0</v>
      </c>
      <c r="H24" s="603">
        <f t="shared" si="3"/>
        <v>0</v>
      </c>
      <c r="I24" s="603">
        <f t="shared" si="3"/>
        <v>0</v>
      </c>
      <c r="J24" s="603">
        <f t="shared" si="3"/>
        <v>0</v>
      </c>
      <c r="K24" s="603">
        <f t="shared" si="3"/>
        <v>0</v>
      </c>
      <c r="L24" s="603">
        <f t="shared" si="3"/>
        <v>0</v>
      </c>
      <c r="M24" s="603">
        <f t="shared" si="3"/>
        <v>0</v>
      </c>
      <c r="N24" s="603">
        <f t="shared" si="3"/>
        <v>0</v>
      </c>
      <c r="O24" s="603">
        <f t="shared" si="3"/>
        <v>0</v>
      </c>
      <c r="P24" s="333">
        <f t="shared" si="4"/>
        <v>0</v>
      </c>
      <c r="Q24" s="253"/>
      <c r="S24" s="277"/>
      <c r="T24" s="277"/>
      <c r="U24" s="303"/>
      <c r="V24" s="308"/>
      <c r="W24" s="308"/>
      <c r="X24" s="308"/>
      <c r="Y24" s="308"/>
      <c r="Z24" s="308"/>
      <c r="AA24" s="308"/>
      <c r="AB24" s="308"/>
      <c r="AC24" s="308"/>
      <c r="AD24" s="308"/>
      <c r="AE24" s="308"/>
      <c r="AF24" s="308"/>
      <c r="AG24" s="308"/>
      <c r="AH24" s="308"/>
      <c r="AI24" s="308"/>
      <c r="AJ24" s="216"/>
      <c r="AK24" s="304"/>
      <c r="AL24" s="303"/>
      <c r="AM24" s="216"/>
      <c r="AN24" s="304"/>
      <c r="AO24" s="303"/>
      <c r="AP24" s="303"/>
      <c r="AQ24" s="303"/>
      <c r="AR24" s="304"/>
      <c r="AS24" s="303"/>
      <c r="AT24" s="303"/>
      <c r="AU24" s="303"/>
      <c r="AV24" s="304"/>
      <c r="AW24" s="213"/>
      <c r="AX24" s="213"/>
      <c r="AY24" s="213"/>
      <c r="AZ24" s="213"/>
      <c r="BA24" s="213"/>
      <c r="BB24" s="213"/>
      <c r="BC24" s="213"/>
      <c r="BD24" s="213"/>
      <c r="BE24" s="213"/>
      <c r="BF24" s="213"/>
      <c r="BG24" s="213"/>
      <c r="BH24" s="213"/>
      <c r="BI24" s="213"/>
      <c r="BJ24" s="213"/>
    </row>
    <row r="25" spans="1:62" ht="15.6">
      <c r="A25" s="170">
        <f t="shared" si="1"/>
        <v>14</v>
      </c>
      <c r="B25" s="327">
        <f t="shared" si="2"/>
        <v>316</v>
      </c>
      <c r="C25" s="906"/>
      <c r="D25" s="603">
        <f t="shared" si="3"/>
        <v>0</v>
      </c>
      <c r="E25" s="603">
        <f t="shared" si="3"/>
        <v>0</v>
      </c>
      <c r="F25" s="603">
        <f t="shared" si="3"/>
        <v>0</v>
      </c>
      <c r="G25" s="603">
        <f t="shared" si="3"/>
        <v>0</v>
      </c>
      <c r="H25" s="603">
        <f t="shared" si="3"/>
        <v>0</v>
      </c>
      <c r="I25" s="603">
        <f t="shared" si="3"/>
        <v>0</v>
      </c>
      <c r="J25" s="603">
        <f t="shared" si="3"/>
        <v>0</v>
      </c>
      <c r="K25" s="603">
        <f t="shared" si="3"/>
        <v>0</v>
      </c>
      <c r="L25" s="603">
        <f t="shared" si="3"/>
        <v>0</v>
      </c>
      <c r="M25" s="603">
        <f t="shared" si="3"/>
        <v>0</v>
      </c>
      <c r="N25" s="603">
        <f t="shared" si="3"/>
        <v>0</v>
      </c>
      <c r="O25" s="603">
        <f t="shared" si="3"/>
        <v>0</v>
      </c>
      <c r="P25" s="361">
        <f t="shared" si="4"/>
        <v>0</v>
      </c>
      <c r="Q25" s="253"/>
      <c r="S25" s="277"/>
      <c r="T25" s="277"/>
      <c r="U25" s="303"/>
      <c r="V25" s="308"/>
      <c r="W25" s="308"/>
      <c r="X25" s="308"/>
      <c r="Y25" s="308"/>
      <c r="Z25" s="308"/>
      <c r="AA25" s="308"/>
      <c r="AB25" s="308"/>
      <c r="AC25" s="308"/>
      <c r="AD25" s="308"/>
      <c r="AE25" s="308"/>
      <c r="AF25" s="308"/>
      <c r="AG25" s="308"/>
      <c r="AH25" s="308"/>
      <c r="AI25" s="308"/>
      <c r="AJ25" s="216"/>
      <c r="AK25" s="304"/>
      <c r="AL25" s="303"/>
      <c r="AM25" s="216"/>
      <c r="AN25" s="304"/>
      <c r="AO25" s="303"/>
      <c r="AP25" s="303"/>
      <c r="AQ25" s="303"/>
      <c r="AR25" s="304"/>
      <c r="AS25" s="303"/>
      <c r="AT25" s="303"/>
      <c r="AU25" s="303"/>
      <c r="AV25" s="304"/>
      <c r="AW25" s="213"/>
      <c r="AX25" s="213"/>
      <c r="AY25" s="213"/>
      <c r="AZ25" s="213"/>
      <c r="BA25" s="213"/>
      <c r="BB25" s="213"/>
      <c r="BC25" s="213"/>
      <c r="BD25" s="213"/>
      <c r="BE25" s="213"/>
      <c r="BF25" s="213"/>
      <c r="BG25" s="213"/>
      <c r="BH25" s="213"/>
      <c r="BI25" s="213"/>
      <c r="BJ25" s="213"/>
    </row>
    <row r="26" spans="1:62" ht="15.6">
      <c r="A26" s="170"/>
      <c r="B26" s="327"/>
      <c r="C26" s="324"/>
      <c r="D26" s="328"/>
      <c r="E26" s="328"/>
      <c r="F26" s="328"/>
      <c r="G26" s="328"/>
      <c r="H26" s="328"/>
      <c r="I26" s="328"/>
      <c r="J26" s="328"/>
      <c r="K26" s="328"/>
      <c r="L26" s="328"/>
      <c r="M26" s="328"/>
      <c r="N26" s="328"/>
      <c r="O26" s="328"/>
      <c r="P26" s="362"/>
      <c r="Q26" s="253"/>
      <c r="S26" s="277"/>
      <c r="T26" s="277"/>
      <c r="U26" s="216"/>
      <c r="V26" s="308"/>
      <c r="W26" s="308"/>
      <c r="X26" s="308"/>
      <c r="Y26" s="308"/>
      <c r="Z26" s="308"/>
      <c r="AA26" s="308"/>
      <c r="AB26" s="308"/>
      <c r="AC26" s="308"/>
      <c r="AD26" s="308"/>
      <c r="AE26" s="308"/>
      <c r="AF26" s="308"/>
      <c r="AG26" s="308"/>
      <c r="AH26" s="308"/>
      <c r="AI26" s="308"/>
      <c r="AJ26" s="216"/>
      <c r="AK26" s="304"/>
      <c r="AL26" s="303"/>
      <c r="AM26" s="216"/>
      <c r="AN26" s="304"/>
      <c r="AO26" s="303"/>
      <c r="AP26" s="303"/>
      <c r="AQ26" s="303"/>
      <c r="AR26" s="304"/>
      <c r="AS26" s="303"/>
      <c r="AT26" s="303"/>
      <c r="AU26" s="303"/>
      <c r="AV26" s="304"/>
      <c r="AW26" s="213"/>
      <c r="AX26" s="213"/>
      <c r="AY26" s="213"/>
      <c r="AZ26" s="213"/>
      <c r="BA26" s="213"/>
      <c r="BB26" s="213"/>
      <c r="BC26" s="213"/>
      <c r="BD26" s="213"/>
      <c r="BE26" s="213"/>
      <c r="BF26" s="213"/>
      <c r="BG26" s="213"/>
      <c r="BH26" s="213"/>
      <c r="BI26" s="213"/>
      <c r="BJ26" s="213"/>
    </row>
    <row r="27" spans="1:62" ht="18.600000000000001">
      <c r="A27" s="355"/>
      <c r="B27" s="355" t="s">
        <v>1078</v>
      </c>
      <c r="C27" s="334" t="s">
        <v>730</v>
      </c>
      <c r="D27" s="1778" t="s">
        <v>731</v>
      </c>
      <c r="E27" s="1779"/>
      <c r="F27" s="1779"/>
      <c r="G27" s="1779"/>
      <c r="H27" s="1779"/>
      <c r="I27" s="1779"/>
      <c r="J27" s="1779"/>
      <c r="K27" s="1779"/>
      <c r="L27" s="1779"/>
      <c r="M27" s="1779"/>
      <c r="N27" s="1779"/>
      <c r="O27" s="1779"/>
      <c r="P27" s="1779"/>
      <c r="Q27" s="253"/>
      <c r="S27" s="277"/>
      <c r="T27" s="277"/>
      <c r="U27" s="216"/>
      <c r="V27" s="308"/>
      <c r="W27" s="309"/>
      <c r="X27" s="309"/>
      <c r="Y27" s="309"/>
      <c r="Z27" s="309"/>
      <c r="AA27" s="309"/>
      <c r="AB27" s="309"/>
      <c r="AC27" s="309"/>
      <c r="AD27" s="309"/>
      <c r="AE27" s="309"/>
      <c r="AF27" s="309"/>
      <c r="AG27" s="309"/>
      <c r="AH27" s="309"/>
      <c r="AI27" s="308"/>
      <c r="AJ27" s="216"/>
      <c r="AK27" s="304"/>
      <c r="AL27" s="303"/>
      <c r="AM27" s="216"/>
      <c r="AN27" s="304"/>
      <c r="AO27" s="303"/>
      <c r="AP27" s="303"/>
      <c r="AQ27" s="303"/>
      <c r="AR27" s="304"/>
      <c r="AS27" s="303"/>
      <c r="AT27" s="303"/>
      <c r="AU27" s="303"/>
      <c r="AV27" s="304"/>
      <c r="AW27" s="213"/>
      <c r="AX27" s="213"/>
      <c r="AY27" s="213"/>
      <c r="AZ27" s="213"/>
      <c r="BA27" s="213"/>
      <c r="BB27" s="213"/>
      <c r="BC27" s="213"/>
      <c r="BD27" s="213"/>
      <c r="BE27" s="213"/>
      <c r="BF27" s="213"/>
      <c r="BG27" s="213"/>
      <c r="BH27" s="213"/>
      <c r="BI27" s="213"/>
      <c r="BJ27" s="213"/>
    </row>
    <row r="28" spans="1:62" ht="18.600000000000001">
      <c r="A28" s="355"/>
      <c r="B28" s="322" t="s">
        <v>928</v>
      </c>
      <c r="C28" s="335" t="s">
        <v>732</v>
      </c>
      <c r="D28" s="358" t="s">
        <v>716</v>
      </c>
      <c r="E28" s="358" t="s">
        <v>717</v>
      </c>
      <c r="F28" s="358" t="s">
        <v>718</v>
      </c>
      <c r="G28" s="358" t="s">
        <v>719</v>
      </c>
      <c r="H28" s="358" t="s">
        <v>720</v>
      </c>
      <c r="I28" s="358" t="s">
        <v>721</v>
      </c>
      <c r="J28" s="358" t="s">
        <v>722</v>
      </c>
      <c r="K28" s="358" t="s">
        <v>723</v>
      </c>
      <c r="L28" s="358" t="s">
        <v>724</v>
      </c>
      <c r="M28" s="358" t="s">
        <v>725</v>
      </c>
      <c r="N28" s="358" t="s">
        <v>726</v>
      </c>
      <c r="O28" s="358" t="s">
        <v>715</v>
      </c>
      <c r="P28" s="360" t="s">
        <v>628</v>
      </c>
      <c r="Q28" s="253"/>
      <c r="S28" s="277"/>
      <c r="T28" s="277"/>
      <c r="U28" s="303"/>
      <c r="V28" s="308"/>
      <c r="W28" s="308"/>
      <c r="X28" s="308"/>
      <c r="Y28" s="308"/>
      <c r="Z28" s="308"/>
      <c r="AA28" s="308"/>
      <c r="AB28" s="308"/>
      <c r="AC28" s="308"/>
      <c r="AD28" s="308"/>
      <c r="AE28" s="308"/>
      <c r="AF28" s="308"/>
      <c r="AG28" s="308"/>
      <c r="AH28" s="308"/>
      <c r="AI28" s="308"/>
      <c r="AJ28" s="216"/>
      <c r="AK28" s="304"/>
      <c r="AL28" s="303"/>
      <c r="AM28" s="216"/>
      <c r="AN28" s="304"/>
      <c r="AO28" s="303"/>
      <c r="AP28" s="303"/>
      <c r="AQ28" s="303"/>
      <c r="AR28" s="304"/>
      <c r="AS28" s="303"/>
      <c r="AT28" s="303"/>
      <c r="AU28" s="303"/>
      <c r="AV28" s="304"/>
      <c r="AW28" s="213"/>
      <c r="AX28" s="213"/>
      <c r="AY28" s="213"/>
      <c r="AZ28" s="213"/>
      <c r="BA28" s="213"/>
      <c r="BB28" s="213"/>
      <c r="BC28" s="213"/>
      <c r="BD28" s="213"/>
      <c r="BE28" s="213"/>
      <c r="BF28" s="213"/>
      <c r="BG28" s="213"/>
      <c r="BH28" s="213"/>
      <c r="BI28" s="213"/>
      <c r="BJ28" s="213"/>
    </row>
    <row r="29" spans="1:62" ht="15.6">
      <c r="A29" s="170">
        <f>A25+1</f>
        <v>15</v>
      </c>
      <c r="B29" s="327">
        <f>B9</f>
        <v>311</v>
      </c>
      <c r="C29" s="907">
        <v>0</v>
      </c>
      <c r="D29" s="603">
        <v>0</v>
      </c>
      <c r="E29" s="603">
        <v>0</v>
      </c>
      <c r="F29" s="603">
        <v>0</v>
      </c>
      <c r="G29" s="603">
        <v>0</v>
      </c>
      <c r="H29" s="603">
        <v>0</v>
      </c>
      <c r="I29" s="603">
        <v>0</v>
      </c>
      <c r="J29" s="603">
        <v>0</v>
      </c>
      <c r="K29" s="603">
        <v>0</v>
      </c>
      <c r="L29" s="603">
        <v>0</v>
      </c>
      <c r="M29" s="603">
        <v>0</v>
      </c>
      <c r="N29" s="603">
        <v>0</v>
      </c>
      <c r="O29" s="603">
        <v>0</v>
      </c>
      <c r="P29" s="333"/>
      <c r="Q29" s="253"/>
      <c r="S29" s="277"/>
      <c r="T29" s="277"/>
      <c r="U29" s="303"/>
      <c r="V29" s="308"/>
      <c r="W29" s="308"/>
      <c r="X29" s="308"/>
      <c r="Y29" s="308"/>
      <c r="Z29" s="308"/>
      <c r="AA29" s="308"/>
      <c r="AB29" s="308"/>
      <c r="AC29" s="308"/>
      <c r="AD29" s="308"/>
      <c r="AE29" s="308"/>
      <c r="AF29" s="308"/>
      <c r="AG29" s="308"/>
      <c r="AH29" s="308"/>
      <c r="AI29" s="308"/>
      <c r="AJ29" s="216"/>
      <c r="AK29" s="304"/>
      <c r="AL29" s="303"/>
      <c r="AM29" s="216"/>
      <c r="AN29" s="304"/>
      <c r="AO29" s="303"/>
      <c r="AP29" s="303"/>
      <c r="AQ29" s="303"/>
      <c r="AR29" s="304"/>
      <c r="AS29" s="303"/>
      <c r="AT29" s="303"/>
      <c r="AU29" s="303"/>
      <c r="AV29" s="304"/>
      <c r="AW29" s="213"/>
      <c r="AX29" s="213"/>
      <c r="AY29" s="213"/>
      <c r="AZ29" s="213"/>
      <c r="BA29" s="213"/>
      <c r="BB29" s="213"/>
      <c r="BC29" s="213"/>
      <c r="BD29" s="213"/>
      <c r="BE29" s="213"/>
      <c r="BF29" s="213"/>
      <c r="BG29" s="213"/>
      <c r="BH29" s="213"/>
      <c r="BI29" s="213"/>
      <c r="BJ29" s="213"/>
    </row>
    <row r="30" spans="1:62" ht="15.6">
      <c r="A30" s="170">
        <f t="shared" ref="A30:A35" si="5">A29+1</f>
        <v>16</v>
      </c>
      <c r="B30" s="327">
        <f t="shared" ref="B30:B35" si="6">B10</f>
        <v>312</v>
      </c>
      <c r="C30" s="907">
        <v>0</v>
      </c>
      <c r="D30" s="603">
        <v>0</v>
      </c>
      <c r="E30" s="603">
        <v>0</v>
      </c>
      <c r="F30" s="603">
        <v>0</v>
      </c>
      <c r="G30" s="603">
        <v>0</v>
      </c>
      <c r="H30" s="603">
        <v>0</v>
      </c>
      <c r="I30" s="603">
        <v>0</v>
      </c>
      <c r="J30" s="603">
        <v>0</v>
      </c>
      <c r="K30" s="603">
        <v>0</v>
      </c>
      <c r="L30" s="603">
        <v>0</v>
      </c>
      <c r="M30" s="603">
        <v>0</v>
      </c>
      <c r="N30" s="603">
        <v>0</v>
      </c>
      <c r="O30" s="603">
        <v>0</v>
      </c>
      <c r="P30" s="333"/>
      <c r="Q30" s="253"/>
      <c r="S30" s="277"/>
      <c r="T30" s="277"/>
      <c r="U30" s="216"/>
      <c r="V30" s="308"/>
      <c r="W30" s="308"/>
      <c r="X30" s="308"/>
      <c r="Y30" s="308"/>
      <c r="Z30" s="308"/>
      <c r="AA30" s="308"/>
      <c r="AB30" s="308"/>
      <c r="AC30" s="308"/>
      <c r="AD30" s="308"/>
      <c r="AE30" s="308"/>
      <c r="AF30" s="308"/>
      <c r="AG30" s="308"/>
      <c r="AH30" s="308"/>
      <c r="AI30" s="308"/>
      <c r="AJ30" s="216"/>
      <c r="AK30" s="304"/>
      <c r="AL30" s="303"/>
      <c r="AM30" s="216"/>
      <c r="AN30" s="304"/>
      <c r="AO30" s="303"/>
      <c r="AP30" s="303"/>
      <c r="AQ30" s="303"/>
      <c r="AR30" s="304"/>
      <c r="AS30" s="303"/>
      <c r="AT30" s="303"/>
      <c r="AU30" s="303"/>
      <c r="AV30" s="304"/>
      <c r="AW30" s="213"/>
      <c r="AX30" s="213"/>
      <c r="AY30" s="213"/>
      <c r="AZ30" s="213"/>
      <c r="BA30" s="213"/>
      <c r="BB30" s="213"/>
      <c r="BC30" s="213"/>
      <c r="BD30" s="213"/>
      <c r="BE30" s="213"/>
      <c r="BF30" s="213"/>
      <c r="BG30" s="213"/>
      <c r="BH30" s="213"/>
      <c r="BI30" s="213"/>
      <c r="BJ30" s="213"/>
    </row>
    <row r="31" spans="1:62" ht="15.6">
      <c r="A31" s="170">
        <f t="shared" si="5"/>
        <v>17</v>
      </c>
      <c r="B31" s="327">
        <f t="shared" si="6"/>
        <v>312.10000000000002</v>
      </c>
      <c r="C31" s="907">
        <v>0</v>
      </c>
      <c r="D31" s="603">
        <v>0</v>
      </c>
      <c r="E31" s="603">
        <v>0</v>
      </c>
      <c r="F31" s="603">
        <v>0</v>
      </c>
      <c r="G31" s="603">
        <v>0</v>
      </c>
      <c r="H31" s="603">
        <v>0</v>
      </c>
      <c r="I31" s="603">
        <v>0</v>
      </c>
      <c r="J31" s="603">
        <v>0</v>
      </c>
      <c r="K31" s="603">
        <v>0</v>
      </c>
      <c r="L31" s="603">
        <v>0</v>
      </c>
      <c r="M31" s="603">
        <v>0</v>
      </c>
      <c r="N31" s="603">
        <v>0</v>
      </c>
      <c r="O31" s="603">
        <v>0</v>
      </c>
      <c r="P31" s="333"/>
      <c r="Q31" s="253"/>
      <c r="S31" s="277"/>
      <c r="T31" s="277"/>
      <c r="U31" s="216"/>
      <c r="V31" s="308"/>
      <c r="W31" s="309"/>
      <c r="X31" s="309"/>
      <c r="Y31" s="309"/>
      <c r="Z31" s="309"/>
      <c r="AA31" s="309"/>
      <c r="AB31" s="309"/>
      <c r="AC31" s="309"/>
      <c r="AD31" s="309"/>
      <c r="AE31" s="309"/>
      <c r="AF31" s="309"/>
      <c r="AG31" s="309"/>
      <c r="AH31" s="309"/>
      <c r="AI31" s="308"/>
      <c r="AJ31" s="216"/>
      <c r="AK31" s="304"/>
      <c r="AL31" s="303"/>
      <c r="AM31" s="216"/>
      <c r="AN31" s="304"/>
      <c r="AO31" s="303"/>
      <c r="AP31" s="303"/>
      <c r="AQ31" s="303"/>
      <c r="AR31" s="304"/>
      <c r="AS31" s="303"/>
      <c r="AT31" s="303"/>
      <c r="AU31" s="303"/>
      <c r="AV31" s="304"/>
      <c r="AW31" s="213"/>
      <c r="AX31" s="213"/>
      <c r="AY31" s="213"/>
      <c r="AZ31" s="213"/>
      <c r="BA31" s="213"/>
      <c r="BB31" s="213"/>
      <c r="BC31" s="213"/>
      <c r="BD31" s="213"/>
      <c r="BE31" s="213"/>
      <c r="BF31" s="213"/>
      <c r="BG31" s="213"/>
      <c r="BH31" s="213"/>
      <c r="BI31" s="213"/>
      <c r="BJ31" s="213"/>
    </row>
    <row r="32" spans="1:62" ht="15.6">
      <c r="A32" s="170">
        <f t="shared" si="5"/>
        <v>18</v>
      </c>
      <c r="B32" s="327">
        <f t="shared" si="6"/>
        <v>312.2</v>
      </c>
      <c r="C32" s="907">
        <v>0</v>
      </c>
      <c r="D32" s="603">
        <v>0</v>
      </c>
      <c r="E32" s="603">
        <v>0</v>
      </c>
      <c r="F32" s="603">
        <v>0</v>
      </c>
      <c r="G32" s="603">
        <v>0</v>
      </c>
      <c r="H32" s="603">
        <v>0</v>
      </c>
      <c r="I32" s="603">
        <v>0</v>
      </c>
      <c r="J32" s="603">
        <v>0</v>
      </c>
      <c r="K32" s="603">
        <v>0</v>
      </c>
      <c r="L32" s="603">
        <v>0</v>
      </c>
      <c r="M32" s="603">
        <v>0</v>
      </c>
      <c r="N32" s="603">
        <v>0</v>
      </c>
      <c r="O32" s="603">
        <v>0</v>
      </c>
      <c r="P32" s="333"/>
      <c r="Q32" s="253"/>
      <c r="S32" s="277"/>
      <c r="T32" s="277"/>
      <c r="U32" s="303"/>
      <c r="V32" s="308"/>
      <c r="W32" s="308"/>
      <c r="X32" s="308"/>
      <c r="Y32" s="308"/>
      <c r="Z32" s="308"/>
      <c r="AA32" s="308"/>
      <c r="AB32" s="308"/>
      <c r="AC32" s="308"/>
      <c r="AD32" s="308"/>
      <c r="AE32" s="308"/>
      <c r="AF32" s="308"/>
      <c r="AG32" s="308"/>
      <c r="AH32" s="308"/>
      <c r="AI32" s="308"/>
      <c r="AJ32" s="216"/>
      <c r="AK32" s="304"/>
      <c r="AL32" s="303"/>
      <c r="AM32" s="216"/>
      <c r="AN32" s="304"/>
      <c r="AO32" s="303"/>
      <c r="AP32" s="303"/>
      <c r="AQ32" s="303"/>
      <c r="AR32" s="304"/>
      <c r="AS32" s="303"/>
      <c r="AT32" s="303"/>
      <c r="AU32" s="303"/>
      <c r="AV32" s="304"/>
      <c r="AW32" s="213"/>
      <c r="AX32" s="213"/>
      <c r="AY32" s="213"/>
      <c r="AZ32" s="213"/>
      <c r="BA32" s="213"/>
      <c r="BB32" s="213"/>
      <c r="BC32" s="213"/>
      <c r="BD32" s="213"/>
      <c r="BE32" s="213"/>
      <c r="BF32" s="213"/>
      <c r="BG32" s="213"/>
      <c r="BH32" s="213"/>
      <c r="BI32" s="213"/>
      <c r="BJ32" s="213"/>
    </row>
    <row r="33" spans="1:62" ht="15.6">
      <c r="A33" s="170">
        <f t="shared" si="5"/>
        <v>19</v>
      </c>
      <c r="B33" s="327">
        <f t="shared" si="6"/>
        <v>314</v>
      </c>
      <c r="C33" s="907">
        <v>0</v>
      </c>
      <c r="D33" s="603">
        <v>0</v>
      </c>
      <c r="E33" s="603">
        <v>0</v>
      </c>
      <c r="F33" s="603">
        <v>0</v>
      </c>
      <c r="G33" s="603">
        <v>0</v>
      </c>
      <c r="H33" s="603">
        <v>0</v>
      </c>
      <c r="I33" s="603">
        <v>0</v>
      </c>
      <c r="J33" s="603">
        <v>0</v>
      </c>
      <c r="K33" s="603">
        <v>0</v>
      </c>
      <c r="L33" s="603">
        <v>0</v>
      </c>
      <c r="M33" s="603">
        <v>0</v>
      </c>
      <c r="N33" s="603">
        <v>0</v>
      </c>
      <c r="O33" s="603">
        <v>0</v>
      </c>
      <c r="P33" s="333"/>
      <c r="Q33" s="253"/>
      <c r="S33" s="277"/>
      <c r="T33" s="277"/>
      <c r="U33" s="303"/>
      <c r="V33" s="308"/>
      <c r="W33" s="308"/>
      <c r="X33" s="308"/>
      <c r="Y33" s="308"/>
      <c r="Z33" s="308"/>
      <c r="AA33" s="308"/>
      <c r="AB33" s="308"/>
      <c r="AC33" s="308"/>
      <c r="AD33" s="308"/>
      <c r="AE33" s="308"/>
      <c r="AF33" s="308"/>
      <c r="AG33" s="308"/>
      <c r="AH33" s="308"/>
      <c r="AI33" s="308"/>
      <c r="AJ33" s="216"/>
      <c r="AK33" s="304"/>
      <c r="AL33" s="303"/>
      <c r="AM33" s="216"/>
      <c r="AN33" s="304"/>
      <c r="AO33" s="303"/>
      <c r="AP33" s="303"/>
      <c r="AQ33" s="303"/>
      <c r="AR33" s="304"/>
      <c r="AS33" s="303"/>
      <c r="AT33" s="303"/>
      <c r="AU33" s="303"/>
      <c r="AV33" s="304"/>
      <c r="AW33" s="213"/>
      <c r="AX33" s="213"/>
      <c r="AY33" s="213"/>
      <c r="AZ33" s="213"/>
      <c r="BA33" s="213"/>
      <c r="BB33" s="213"/>
      <c r="BC33" s="213"/>
      <c r="BD33" s="213"/>
      <c r="BE33" s="213"/>
      <c r="BF33" s="213"/>
      <c r="BG33" s="213"/>
      <c r="BH33" s="213"/>
      <c r="BI33" s="213"/>
      <c r="BJ33" s="213"/>
    </row>
    <row r="34" spans="1:62" ht="15.6">
      <c r="A34" s="170">
        <f t="shared" si="5"/>
        <v>20</v>
      </c>
      <c r="B34" s="327">
        <f t="shared" si="6"/>
        <v>315</v>
      </c>
      <c r="C34" s="907">
        <v>0</v>
      </c>
      <c r="D34" s="603">
        <v>0</v>
      </c>
      <c r="E34" s="603">
        <v>0</v>
      </c>
      <c r="F34" s="603">
        <v>0</v>
      </c>
      <c r="G34" s="603">
        <v>0</v>
      </c>
      <c r="H34" s="603">
        <v>0</v>
      </c>
      <c r="I34" s="603">
        <v>0</v>
      </c>
      <c r="J34" s="603">
        <v>0</v>
      </c>
      <c r="K34" s="603">
        <v>0</v>
      </c>
      <c r="L34" s="603">
        <v>0</v>
      </c>
      <c r="M34" s="603">
        <v>0</v>
      </c>
      <c r="N34" s="603">
        <v>0</v>
      </c>
      <c r="O34" s="603">
        <v>0</v>
      </c>
      <c r="P34" s="333"/>
      <c r="Q34" s="253"/>
      <c r="S34" s="277"/>
      <c r="T34" s="277"/>
      <c r="U34" s="216"/>
      <c r="V34" s="308"/>
      <c r="W34" s="308"/>
      <c r="X34" s="308"/>
      <c r="Y34" s="308"/>
      <c r="Z34" s="308"/>
      <c r="AA34" s="308"/>
      <c r="AB34" s="308"/>
      <c r="AC34" s="308"/>
      <c r="AD34" s="308"/>
      <c r="AE34" s="308"/>
      <c r="AF34" s="308"/>
      <c r="AG34" s="308"/>
      <c r="AH34" s="308"/>
      <c r="AI34" s="308"/>
      <c r="AJ34" s="216"/>
      <c r="AK34" s="304"/>
      <c r="AL34" s="303"/>
      <c r="AM34" s="216"/>
      <c r="AN34" s="304"/>
      <c r="AO34" s="303"/>
      <c r="AP34" s="303"/>
      <c r="AQ34" s="303"/>
      <c r="AR34" s="304"/>
      <c r="AS34" s="303"/>
      <c r="AT34" s="303"/>
      <c r="AU34" s="303"/>
      <c r="AV34" s="304"/>
      <c r="AW34" s="213"/>
      <c r="AX34" s="213"/>
      <c r="AY34" s="213"/>
      <c r="AZ34" s="213"/>
      <c r="BA34" s="213"/>
      <c r="BB34" s="213"/>
      <c r="BC34" s="213"/>
      <c r="BD34" s="213"/>
      <c r="BE34" s="213"/>
      <c r="BF34" s="213"/>
      <c r="BG34" s="213"/>
      <c r="BH34" s="213"/>
      <c r="BI34" s="213"/>
      <c r="BJ34" s="213"/>
    </row>
    <row r="35" spans="1:62" ht="15.6">
      <c r="A35" s="170">
        <f t="shared" si="5"/>
        <v>21</v>
      </c>
      <c r="B35" s="327">
        <f t="shared" si="6"/>
        <v>316</v>
      </c>
      <c r="C35" s="907">
        <v>0</v>
      </c>
      <c r="D35" s="603">
        <v>0</v>
      </c>
      <c r="E35" s="603">
        <v>0</v>
      </c>
      <c r="F35" s="603">
        <v>0</v>
      </c>
      <c r="G35" s="603">
        <v>0</v>
      </c>
      <c r="H35" s="603">
        <v>0</v>
      </c>
      <c r="I35" s="603">
        <v>0</v>
      </c>
      <c r="J35" s="603">
        <v>0</v>
      </c>
      <c r="K35" s="603">
        <v>0</v>
      </c>
      <c r="L35" s="603">
        <v>0</v>
      </c>
      <c r="M35" s="603">
        <v>0</v>
      </c>
      <c r="N35" s="603">
        <v>0</v>
      </c>
      <c r="O35" s="603">
        <v>0</v>
      </c>
      <c r="P35" s="333"/>
      <c r="Q35" s="253"/>
      <c r="S35" s="277"/>
      <c r="T35" s="277"/>
      <c r="U35" s="216"/>
      <c r="V35" s="308"/>
      <c r="W35" s="309"/>
      <c r="X35" s="309"/>
      <c r="Y35" s="309"/>
      <c r="Z35" s="309"/>
      <c r="AA35" s="309"/>
      <c r="AB35" s="309"/>
      <c r="AC35" s="309"/>
      <c r="AD35" s="309"/>
      <c r="AE35" s="309"/>
      <c r="AF35" s="309"/>
      <c r="AG35" s="309"/>
      <c r="AH35" s="309"/>
      <c r="AI35" s="303"/>
      <c r="AJ35" s="216"/>
      <c r="AK35" s="304"/>
      <c r="AL35" s="303"/>
      <c r="AM35" s="216"/>
      <c r="AN35" s="304"/>
      <c r="AO35" s="303"/>
      <c r="AP35" s="303"/>
      <c r="AQ35" s="303"/>
      <c r="AR35" s="304"/>
      <c r="AS35" s="303"/>
      <c r="AT35" s="303"/>
      <c r="AU35" s="303"/>
      <c r="AV35" s="304"/>
      <c r="AW35" s="213"/>
      <c r="AX35" s="213"/>
      <c r="AY35" s="213"/>
      <c r="AZ35" s="213"/>
      <c r="BA35" s="213"/>
      <c r="BB35" s="213"/>
      <c r="BC35" s="213"/>
      <c r="BD35" s="213"/>
      <c r="BE35" s="213"/>
      <c r="BF35" s="213"/>
      <c r="BG35" s="213"/>
      <c r="BH35" s="213"/>
      <c r="BI35" s="213"/>
      <c r="BJ35" s="213"/>
    </row>
    <row r="36" spans="1:62" ht="15.6">
      <c r="A36" s="324"/>
      <c r="B36" s="363"/>
      <c r="C36" s="363"/>
      <c r="D36" s="363"/>
      <c r="E36" s="363"/>
      <c r="F36" s="363"/>
      <c r="G36" s="363"/>
      <c r="H36" s="363"/>
      <c r="I36" s="363"/>
      <c r="J36" s="363"/>
      <c r="K36" s="363"/>
      <c r="L36" s="364"/>
      <c r="M36" s="364"/>
      <c r="N36" s="364"/>
      <c r="O36" s="364"/>
      <c r="P36" s="365"/>
      <c r="Q36" s="253"/>
      <c r="S36" s="277"/>
      <c r="T36" s="277"/>
      <c r="U36" s="303"/>
      <c r="V36" s="308"/>
      <c r="W36" s="308"/>
      <c r="X36" s="308"/>
      <c r="Y36" s="308"/>
      <c r="Z36" s="308"/>
      <c r="AA36" s="308"/>
      <c r="AB36" s="308"/>
      <c r="AC36" s="308"/>
      <c r="AD36" s="308"/>
      <c r="AE36" s="308"/>
      <c r="AF36" s="308"/>
      <c r="AG36" s="308"/>
      <c r="AH36" s="308"/>
      <c r="AI36" s="303"/>
      <c r="AJ36" s="216"/>
      <c r="AK36" s="304"/>
      <c r="AL36" s="303"/>
      <c r="AM36" s="216"/>
      <c r="AN36" s="304"/>
      <c r="AO36" s="303"/>
      <c r="AP36" s="303"/>
      <c r="AQ36" s="303"/>
      <c r="AR36" s="304"/>
      <c r="AS36" s="303"/>
      <c r="AT36" s="303"/>
      <c r="AU36" s="303"/>
      <c r="AV36" s="304"/>
      <c r="AW36" s="213"/>
      <c r="AX36" s="213"/>
      <c r="AY36" s="213"/>
      <c r="AZ36" s="213"/>
      <c r="BA36" s="213"/>
      <c r="BB36" s="213"/>
      <c r="BC36" s="213"/>
      <c r="BD36" s="213"/>
      <c r="BE36" s="213"/>
      <c r="BF36" s="213"/>
      <c r="BG36" s="213"/>
      <c r="BH36" s="213"/>
      <c r="BI36" s="213"/>
      <c r="BJ36" s="213"/>
    </row>
    <row r="37" spans="1:62" ht="15.6">
      <c r="A37" s="336" t="s">
        <v>713</v>
      </c>
      <c r="B37" s="340"/>
      <c r="C37" s="341" t="s">
        <v>476</v>
      </c>
      <c r="D37" s="287"/>
      <c r="E37" s="287"/>
      <c r="F37" s="287"/>
      <c r="G37" s="287"/>
      <c r="H37" s="287"/>
      <c r="I37" s="287"/>
      <c r="J37" s="287"/>
      <c r="K37" s="334"/>
      <c r="L37" s="287"/>
      <c r="M37" s="287"/>
      <c r="N37" s="287"/>
      <c r="O37" s="287"/>
      <c r="P37" s="339"/>
      <c r="Q37" s="253"/>
      <c r="S37" s="277"/>
      <c r="T37" s="277"/>
      <c r="U37" s="303"/>
      <c r="V37" s="308"/>
      <c r="W37" s="303"/>
      <c r="X37" s="303"/>
      <c r="Y37" s="303"/>
      <c r="Z37" s="303"/>
      <c r="AA37" s="303"/>
      <c r="AB37" s="303"/>
      <c r="AC37" s="303"/>
      <c r="AD37" s="303"/>
      <c r="AE37" s="303"/>
      <c r="AF37" s="303"/>
      <c r="AG37" s="303"/>
      <c r="AH37" s="303"/>
      <c r="AI37" s="303"/>
      <c r="AJ37" s="216"/>
      <c r="AK37" s="304"/>
      <c r="AL37" s="303"/>
      <c r="AM37" s="216"/>
      <c r="AN37" s="304"/>
      <c r="AO37" s="303"/>
      <c r="AP37" s="303"/>
      <c r="AQ37" s="303"/>
      <c r="AR37" s="304"/>
      <c r="AS37" s="303"/>
      <c r="AT37" s="303"/>
      <c r="AU37" s="303"/>
      <c r="AV37" s="304"/>
      <c r="AW37" s="213"/>
      <c r="AX37" s="213"/>
      <c r="AY37" s="213"/>
      <c r="AZ37" s="213"/>
      <c r="BA37" s="213"/>
      <c r="BB37" s="213"/>
      <c r="BC37" s="213"/>
      <c r="BD37" s="213"/>
      <c r="BE37" s="213"/>
      <c r="BF37" s="213"/>
      <c r="BG37" s="213"/>
      <c r="BH37" s="213"/>
      <c r="BI37" s="213"/>
      <c r="BJ37" s="213"/>
    </row>
    <row r="38" spans="1:62" ht="15.6">
      <c r="A38" s="355"/>
      <c r="B38" s="356"/>
      <c r="C38" s="287"/>
      <c r="D38" s="287"/>
      <c r="E38" s="287"/>
      <c r="F38" s="287"/>
      <c r="G38" s="287"/>
      <c r="H38" s="287"/>
      <c r="I38" s="287"/>
      <c r="J38" s="287"/>
      <c r="K38" s="334"/>
      <c r="L38" s="287"/>
      <c r="M38" s="287"/>
      <c r="N38" s="287"/>
      <c r="O38" s="287"/>
      <c r="P38" s="339"/>
      <c r="Q38" s="253"/>
      <c r="S38" s="277"/>
      <c r="T38" s="277"/>
      <c r="U38" s="302"/>
      <c r="V38" s="303"/>
      <c r="W38" s="303"/>
      <c r="X38" s="303"/>
      <c r="Y38" s="303"/>
      <c r="Z38" s="303"/>
      <c r="AA38" s="303"/>
      <c r="AB38" s="303"/>
      <c r="AC38" s="303"/>
      <c r="AD38" s="303"/>
      <c r="AE38" s="303"/>
      <c r="AF38" s="303"/>
      <c r="AG38" s="303"/>
      <c r="AH38" s="303"/>
      <c r="AI38" s="303"/>
      <c r="AJ38" s="216"/>
      <c r="AK38" s="304"/>
      <c r="AL38" s="303"/>
      <c r="AM38" s="216"/>
      <c r="AN38" s="304"/>
      <c r="AO38" s="303"/>
      <c r="AP38" s="303"/>
      <c r="AQ38" s="303"/>
      <c r="AR38" s="304"/>
      <c r="AS38" s="303"/>
      <c r="AT38" s="303"/>
      <c r="AU38" s="303"/>
      <c r="AV38" s="304"/>
      <c r="AW38" s="213"/>
      <c r="AX38" s="213"/>
      <c r="AY38" s="213"/>
      <c r="AZ38" s="213"/>
      <c r="BA38" s="213"/>
      <c r="BB38" s="213"/>
      <c r="BC38" s="213"/>
      <c r="BD38" s="213"/>
      <c r="BE38" s="213"/>
      <c r="BF38" s="213"/>
      <c r="BG38" s="213"/>
      <c r="BH38" s="213"/>
      <c r="BI38" s="213"/>
      <c r="BJ38" s="213"/>
    </row>
    <row r="39" spans="1:62" ht="18.600000000000001">
      <c r="A39" s="355" t="s">
        <v>494</v>
      </c>
      <c r="B39" s="355" t="s">
        <v>1078</v>
      </c>
      <c r="C39" s="334"/>
      <c r="D39" s="1778" t="s">
        <v>714</v>
      </c>
      <c r="E39" s="1778"/>
      <c r="F39" s="1778"/>
      <c r="G39" s="1778"/>
      <c r="H39" s="1778"/>
      <c r="I39" s="1778"/>
      <c r="J39" s="1778"/>
      <c r="K39" s="1778"/>
      <c r="L39" s="1778"/>
      <c r="M39" s="1778"/>
      <c r="N39" s="1778"/>
      <c r="O39" s="1778"/>
      <c r="P39" s="357"/>
      <c r="S39" s="277"/>
      <c r="T39" s="277"/>
      <c r="U39" s="305"/>
      <c r="V39" s="303"/>
      <c r="W39" s="1780"/>
      <c r="X39" s="1781"/>
      <c r="Y39" s="1781"/>
      <c r="Z39" s="1781"/>
      <c r="AA39" s="1781"/>
      <c r="AB39" s="1781"/>
      <c r="AC39" s="1781"/>
      <c r="AD39" s="1781"/>
      <c r="AE39" s="1781"/>
      <c r="AF39" s="1781"/>
      <c r="AG39" s="1781"/>
      <c r="AH39" s="1781"/>
      <c r="AI39" s="303"/>
      <c r="AJ39" s="216"/>
      <c r="AK39" s="304"/>
      <c r="AL39" s="303"/>
      <c r="AM39" s="216"/>
      <c r="AN39" s="304"/>
      <c r="AO39" s="303"/>
      <c r="AP39" s="303"/>
      <c r="AQ39" s="303"/>
      <c r="AR39" s="304"/>
      <c r="AS39" s="303"/>
      <c r="AT39" s="303"/>
      <c r="AU39" s="303"/>
      <c r="AV39" s="304"/>
      <c r="AW39" s="213"/>
      <c r="AX39" s="213"/>
      <c r="AY39" s="213"/>
      <c r="AZ39" s="213"/>
      <c r="BA39" s="213"/>
      <c r="BB39" s="213"/>
      <c r="BC39" s="213"/>
      <c r="BD39" s="213"/>
      <c r="BE39" s="213"/>
      <c r="BF39" s="213"/>
      <c r="BG39" s="213"/>
      <c r="BH39" s="213"/>
      <c r="BI39" s="213"/>
      <c r="BJ39" s="213"/>
    </row>
    <row r="40" spans="1:62" ht="15.6">
      <c r="A40" s="322" t="s">
        <v>928</v>
      </c>
      <c r="B40" s="322" t="s">
        <v>928</v>
      </c>
      <c r="C40" s="335"/>
      <c r="D40" s="358" t="s">
        <v>715</v>
      </c>
      <c r="E40" s="358" t="s">
        <v>716</v>
      </c>
      <c r="F40" s="358" t="s">
        <v>717</v>
      </c>
      <c r="G40" s="358" t="s">
        <v>718</v>
      </c>
      <c r="H40" s="358" t="s">
        <v>719</v>
      </c>
      <c r="I40" s="358" t="s">
        <v>720</v>
      </c>
      <c r="J40" s="358" t="s">
        <v>721</v>
      </c>
      <c r="K40" s="358" t="s">
        <v>722</v>
      </c>
      <c r="L40" s="358" t="s">
        <v>723</v>
      </c>
      <c r="M40" s="358" t="s">
        <v>724</v>
      </c>
      <c r="N40" s="358" t="s">
        <v>725</v>
      </c>
      <c r="O40" s="358" t="s">
        <v>726</v>
      </c>
      <c r="P40" s="359"/>
      <c r="S40" s="277"/>
      <c r="T40" s="277"/>
      <c r="U40" s="303"/>
      <c r="V40" s="303"/>
      <c r="W40" s="307"/>
      <c r="X40" s="307"/>
      <c r="Y40" s="307"/>
      <c r="Z40" s="307"/>
      <c r="AA40" s="307"/>
      <c r="AB40" s="307"/>
      <c r="AC40" s="307"/>
      <c r="AD40" s="307"/>
      <c r="AE40" s="307"/>
      <c r="AF40" s="307"/>
      <c r="AG40" s="307"/>
      <c r="AH40" s="307"/>
      <c r="AI40" s="303"/>
      <c r="AJ40" s="216"/>
      <c r="AK40" s="304"/>
      <c r="AL40" s="303"/>
      <c r="AM40" s="216"/>
      <c r="AN40" s="304"/>
      <c r="AO40" s="303"/>
      <c r="AP40" s="303"/>
      <c r="AQ40" s="303"/>
      <c r="AR40" s="304"/>
      <c r="AS40" s="303"/>
      <c r="AT40" s="303"/>
      <c r="AU40" s="303"/>
      <c r="AV40" s="304"/>
      <c r="AW40" s="213"/>
      <c r="AX40" s="213"/>
      <c r="AY40" s="213"/>
      <c r="AZ40" s="213"/>
      <c r="BA40" s="213"/>
      <c r="BB40" s="213"/>
      <c r="BC40" s="213"/>
      <c r="BD40" s="213"/>
      <c r="BE40" s="213"/>
      <c r="BF40" s="213"/>
      <c r="BG40" s="213"/>
      <c r="BH40" s="213"/>
      <c r="BI40" s="213"/>
      <c r="BJ40" s="213"/>
    </row>
    <row r="41" spans="1:62" ht="15.6">
      <c r="A41" s="170">
        <f>A35+1</f>
        <v>22</v>
      </c>
      <c r="B41" s="327">
        <v>311</v>
      </c>
      <c r="C41" s="287"/>
      <c r="D41" s="905">
        <v>0</v>
      </c>
      <c r="E41" s="905">
        <v>0</v>
      </c>
      <c r="F41" s="905">
        <v>0</v>
      </c>
      <c r="G41" s="905">
        <v>0</v>
      </c>
      <c r="H41" s="905">
        <v>0</v>
      </c>
      <c r="I41" s="905">
        <v>0</v>
      </c>
      <c r="J41" s="905">
        <v>0</v>
      </c>
      <c r="K41" s="905">
        <v>0</v>
      </c>
      <c r="L41" s="905">
        <v>0</v>
      </c>
      <c r="M41" s="905">
        <v>0</v>
      </c>
      <c r="N41" s="905">
        <v>0</v>
      </c>
      <c r="O41" s="905">
        <v>0</v>
      </c>
      <c r="P41" s="339"/>
      <c r="S41" s="277"/>
      <c r="T41" s="277"/>
      <c r="U41" s="216"/>
      <c r="V41" s="308"/>
      <c r="W41" s="308"/>
      <c r="X41" s="308"/>
      <c r="Y41" s="308"/>
      <c r="Z41" s="308"/>
      <c r="AA41" s="308"/>
      <c r="AB41" s="308"/>
      <c r="AC41" s="308"/>
      <c r="AD41" s="308"/>
      <c r="AE41" s="308"/>
      <c r="AF41" s="308"/>
      <c r="AG41" s="308"/>
      <c r="AH41" s="308"/>
      <c r="AI41" s="303"/>
      <c r="AJ41" s="216"/>
      <c r="AK41" s="304"/>
      <c r="AL41" s="303"/>
      <c r="AM41" s="216"/>
      <c r="AN41" s="304"/>
      <c r="AO41" s="303"/>
      <c r="AP41" s="303"/>
      <c r="AQ41" s="303"/>
      <c r="AR41" s="304"/>
      <c r="AS41" s="303"/>
      <c r="AT41" s="303"/>
      <c r="AU41" s="303"/>
      <c r="AV41" s="304"/>
      <c r="AW41" s="213"/>
      <c r="AX41" s="213"/>
      <c r="AY41" s="213"/>
      <c r="AZ41" s="213"/>
      <c r="BA41" s="213"/>
      <c r="BB41" s="213"/>
      <c r="BC41" s="213"/>
      <c r="BD41" s="213"/>
      <c r="BE41" s="213"/>
      <c r="BF41" s="213"/>
      <c r="BG41" s="213"/>
      <c r="BH41" s="213"/>
      <c r="BI41" s="213"/>
      <c r="BJ41" s="213"/>
    </row>
    <row r="42" spans="1:62" ht="15.6">
      <c r="A42" s="170">
        <f t="shared" ref="A42:A47" si="7">A41+1</f>
        <v>23</v>
      </c>
      <c r="B42" s="327">
        <v>312</v>
      </c>
      <c r="C42" s="287"/>
      <c r="D42" s="907">
        <v>0</v>
      </c>
      <c r="E42" s="907">
        <v>0</v>
      </c>
      <c r="F42" s="907">
        <v>0</v>
      </c>
      <c r="G42" s="907">
        <v>0</v>
      </c>
      <c r="H42" s="907">
        <v>0</v>
      </c>
      <c r="I42" s="907">
        <v>0</v>
      </c>
      <c r="J42" s="907">
        <v>0</v>
      </c>
      <c r="K42" s="907">
        <v>0</v>
      </c>
      <c r="L42" s="907">
        <v>0</v>
      </c>
      <c r="M42" s="907">
        <v>0</v>
      </c>
      <c r="N42" s="907">
        <v>0</v>
      </c>
      <c r="O42" s="907">
        <v>0</v>
      </c>
      <c r="P42" s="339"/>
      <c r="S42" s="277"/>
      <c r="T42" s="277"/>
      <c r="U42" s="216"/>
      <c r="V42" s="308"/>
      <c r="W42" s="309"/>
      <c r="X42" s="309"/>
      <c r="Y42" s="309"/>
      <c r="Z42" s="309"/>
      <c r="AA42" s="309"/>
      <c r="AB42" s="309"/>
      <c r="AC42" s="309"/>
      <c r="AD42" s="309"/>
      <c r="AE42" s="309"/>
      <c r="AF42" s="309"/>
      <c r="AG42" s="309"/>
      <c r="AH42" s="309"/>
      <c r="AI42" s="277"/>
      <c r="AJ42" s="216"/>
      <c r="AK42" s="304"/>
      <c r="AL42" s="303"/>
      <c r="AM42" s="216"/>
      <c r="AN42" s="304"/>
      <c r="AO42" s="277"/>
      <c r="AP42" s="303"/>
      <c r="AQ42" s="303"/>
      <c r="AR42" s="304"/>
      <c r="AS42" s="303"/>
      <c r="AT42" s="303"/>
      <c r="AU42" s="303"/>
      <c r="AV42" s="304"/>
      <c r="AW42" s="213"/>
      <c r="AX42" s="213"/>
      <c r="AY42" s="213"/>
      <c r="AZ42" s="213"/>
      <c r="BA42" s="213"/>
      <c r="BB42" s="213"/>
      <c r="BC42" s="213"/>
      <c r="BD42" s="213"/>
      <c r="BE42" s="213"/>
      <c r="BF42" s="213"/>
      <c r="BG42" s="213"/>
      <c r="BH42" s="213"/>
      <c r="BI42" s="213"/>
      <c r="BJ42" s="213"/>
    </row>
    <row r="43" spans="1:62" ht="15.6">
      <c r="A43" s="170">
        <f t="shared" si="7"/>
        <v>24</v>
      </c>
      <c r="B43" s="327">
        <v>312.10000000000002</v>
      </c>
      <c r="C43" s="287"/>
      <c r="D43" s="907">
        <v>0</v>
      </c>
      <c r="E43" s="907">
        <v>0</v>
      </c>
      <c r="F43" s="907">
        <v>0</v>
      </c>
      <c r="G43" s="907">
        <v>0</v>
      </c>
      <c r="H43" s="907">
        <v>0</v>
      </c>
      <c r="I43" s="907">
        <v>0</v>
      </c>
      <c r="J43" s="907">
        <v>0</v>
      </c>
      <c r="K43" s="907">
        <v>0</v>
      </c>
      <c r="L43" s="907">
        <v>0</v>
      </c>
      <c r="M43" s="907">
        <v>0</v>
      </c>
      <c r="N43" s="907">
        <v>0</v>
      </c>
      <c r="O43" s="907">
        <v>0</v>
      </c>
      <c r="P43" s="339"/>
      <c r="S43" s="277"/>
      <c r="T43" s="277"/>
      <c r="U43" s="303"/>
      <c r="V43" s="308"/>
      <c r="W43" s="308"/>
      <c r="X43" s="308"/>
      <c r="Y43" s="308"/>
      <c r="Z43" s="308"/>
      <c r="AA43" s="308"/>
      <c r="AB43" s="308"/>
      <c r="AC43" s="308"/>
      <c r="AD43" s="308"/>
      <c r="AE43" s="308"/>
      <c r="AF43" s="308"/>
      <c r="AG43" s="308"/>
      <c r="AH43" s="308"/>
      <c r="AI43" s="277"/>
      <c r="AJ43" s="216"/>
      <c r="AK43" s="304"/>
      <c r="AL43" s="303"/>
      <c r="AM43" s="216"/>
      <c r="AN43" s="304"/>
      <c r="AO43" s="277"/>
      <c r="AP43" s="303"/>
      <c r="AQ43" s="303"/>
      <c r="AR43" s="304"/>
      <c r="AS43" s="303"/>
      <c r="AT43" s="303"/>
      <c r="AU43" s="303"/>
      <c r="AV43" s="304"/>
      <c r="AW43" s="213"/>
      <c r="AX43" s="213"/>
      <c r="AY43" s="213"/>
      <c r="AZ43" s="213"/>
      <c r="BA43" s="213"/>
      <c r="BB43" s="213"/>
      <c r="BC43" s="213"/>
      <c r="BD43" s="213"/>
      <c r="BE43" s="213"/>
      <c r="BF43" s="213"/>
      <c r="BG43" s="213"/>
      <c r="BH43" s="213"/>
      <c r="BI43" s="213"/>
      <c r="BJ43" s="213"/>
    </row>
    <row r="44" spans="1:62" ht="15.6">
      <c r="A44" s="170">
        <f t="shared" si="7"/>
        <v>25</v>
      </c>
      <c r="B44" s="327">
        <v>312.2</v>
      </c>
      <c r="C44" s="287"/>
      <c r="D44" s="907">
        <v>0</v>
      </c>
      <c r="E44" s="907">
        <v>0</v>
      </c>
      <c r="F44" s="907">
        <v>0</v>
      </c>
      <c r="G44" s="907">
        <v>0</v>
      </c>
      <c r="H44" s="907">
        <v>0</v>
      </c>
      <c r="I44" s="907">
        <v>0</v>
      </c>
      <c r="J44" s="907">
        <v>0</v>
      </c>
      <c r="K44" s="907">
        <v>0</v>
      </c>
      <c r="L44" s="907">
        <v>0</v>
      </c>
      <c r="M44" s="907">
        <v>0</v>
      </c>
      <c r="N44" s="907">
        <v>0</v>
      </c>
      <c r="O44" s="907">
        <v>0</v>
      </c>
      <c r="P44" s="339"/>
      <c r="S44" s="277"/>
      <c r="T44" s="277"/>
      <c r="U44" s="303"/>
      <c r="V44" s="308"/>
      <c r="W44" s="308"/>
      <c r="X44" s="308"/>
      <c r="Y44" s="308"/>
      <c r="Z44" s="308"/>
      <c r="AA44" s="308"/>
      <c r="AB44" s="308"/>
      <c r="AC44" s="308"/>
      <c r="AD44" s="308"/>
      <c r="AE44" s="308"/>
      <c r="AF44" s="308"/>
      <c r="AG44" s="308"/>
      <c r="AH44" s="308"/>
      <c r="AI44" s="277"/>
      <c r="AJ44" s="216"/>
      <c r="AK44" s="304"/>
      <c r="AL44" s="303"/>
      <c r="AM44" s="216"/>
      <c r="AN44" s="304"/>
      <c r="AO44" s="277"/>
      <c r="AP44" s="303"/>
      <c r="AQ44" s="303"/>
      <c r="AR44" s="304"/>
      <c r="AS44" s="303"/>
      <c r="AT44" s="303"/>
      <c r="AU44" s="303"/>
      <c r="AV44" s="304"/>
      <c r="AW44" s="213"/>
      <c r="AX44" s="213"/>
      <c r="AY44" s="213"/>
      <c r="AZ44" s="213"/>
      <c r="BA44" s="213"/>
      <c r="BB44" s="213"/>
      <c r="BC44" s="213"/>
      <c r="BD44" s="213"/>
      <c r="BE44" s="213"/>
      <c r="BF44" s="213"/>
      <c r="BG44" s="213"/>
      <c r="BH44" s="213"/>
      <c r="BI44" s="213"/>
      <c r="BJ44" s="213"/>
    </row>
    <row r="45" spans="1:62" ht="15.6">
      <c r="A45" s="170">
        <f t="shared" si="7"/>
        <v>26</v>
      </c>
      <c r="B45" s="327">
        <v>314</v>
      </c>
      <c r="C45" s="287"/>
      <c r="D45" s="907">
        <v>0</v>
      </c>
      <c r="E45" s="907">
        <v>0</v>
      </c>
      <c r="F45" s="907">
        <v>0</v>
      </c>
      <c r="G45" s="907">
        <v>0</v>
      </c>
      <c r="H45" s="907">
        <v>0</v>
      </c>
      <c r="I45" s="907">
        <v>0</v>
      </c>
      <c r="J45" s="907">
        <v>0</v>
      </c>
      <c r="K45" s="907">
        <v>0</v>
      </c>
      <c r="L45" s="907">
        <v>0</v>
      </c>
      <c r="M45" s="907">
        <v>0</v>
      </c>
      <c r="N45" s="907">
        <v>0</v>
      </c>
      <c r="O45" s="907">
        <v>0</v>
      </c>
      <c r="P45" s="339"/>
      <c r="S45" s="277"/>
      <c r="T45" s="277"/>
      <c r="U45" s="216"/>
      <c r="V45" s="308"/>
      <c r="W45" s="308"/>
      <c r="X45" s="308"/>
      <c r="Y45" s="308"/>
      <c r="Z45" s="308"/>
      <c r="AA45" s="308"/>
      <c r="AB45" s="308"/>
      <c r="AC45" s="308"/>
      <c r="AD45" s="308"/>
      <c r="AE45" s="308"/>
      <c r="AF45" s="308"/>
      <c r="AG45" s="308"/>
      <c r="AH45" s="308"/>
      <c r="AI45" s="277"/>
      <c r="AJ45" s="216"/>
      <c r="AK45" s="304"/>
      <c r="AL45" s="303"/>
      <c r="AM45" s="216"/>
      <c r="AN45" s="304"/>
      <c r="AO45" s="277"/>
      <c r="AP45" s="303"/>
      <c r="AQ45" s="303"/>
      <c r="AR45" s="304"/>
      <c r="AS45" s="303"/>
      <c r="AT45" s="303"/>
      <c r="AU45" s="303"/>
      <c r="AV45" s="304"/>
      <c r="AW45" s="213"/>
      <c r="AX45" s="213"/>
      <c r="AY45" s="213"/>
      <c r="AZ45" s="213"/>
      <c r="BA45" s="213"/>
      <c r="BB45" s="213"/>
      <c r="BC45" s="213"/>
      <c r="BD45" s="213"/>
      <c r="BE45" s="213"/>
      <c r="BF45" s="213"/>
      <c r="BG45" s="213"/>
      <c r="BH45" s="213"/>
      <c r="BI45" s="213"/>
      <c r="BJ45" s="213"/>
    </row>
    <row r="46" spans="1:62" ht="15.6">
      <c r="A46" s="170">
        <f t="shared" si="7"/>
        <v>27</v>
      </c>
      <c r="B46" s="327">
        <v>315</v>
      </c>
      <c r="C46" s="287"/>
      <c r="D46" s="907">
        <v>0</v>
      </c>
      <c r="E46" s="907">
        <v>0</v>
      </c>
      <c r="F46" s="907">
        <v>0</v>
      </c>
      <c r="G46" s="907">
        <v>0</v>
      </c>
      <c r="H46" s="907">
        <v>0</v>
      </c>
      <c r="I46" s="907">
        <v>0</v>
      </c>
      <c r="J46" s="907">
        <v>0</v>
      </c>
      <c r="K46" s="907">
        <v>0</v>
      </c>
      <c r="L46" s="907">
        <v>0</v>
      </c>
      <c r="M46" s="907">
        <v>0</v>
      </c>
      <c r="N46" s="907">
        <v>0</v>
      </c>
      <c r="O46" s="907">
        <v>0</v>
      </c>
      <c r="P46" s="339"/>
      <c r="S46" s="277"/>
      <c r="T46" s="277"/>
      <c r="U46" s="216"/>
      <c r="V46" s="308"/>
      <c r="W46" s="309"/>
      <c r="X46" s="309"/>
      <c r="Y46" s="309"/>
      <c r="Z46" s="309"/>
      <c r="AA46" s="309"/>
      <c r="AB46" s="309"/>
      <c r="AC46" s="309"/>
      <c r="AD46" s="309"/>
      <c r="AE46" s="309"/>
      <c r="AF46" s="309"/>
      <c r="AG46" s="309"/>
      <c r="AH46" s="309"/>
      <c r="AI46" s="277"/>
      <c r="AJ46" s="216"/>
      <c r="AK46" s="304"/>
      <c r="AL46" s="303"/>
      <c r="AM46" s="216"/>
      <c r="AN46" s="304"/>
      <c r="AO46" s="277"/>
      <c r="AP46" s="303"/>
      <c r="AQ46" s="303"/>
      <c r="AR46" s="304"/>
      <c r="AS46" s="303"/>
      <c r="AT46" s="303"/>
      <c r="AU46" s="303"/>
      <c r="AV46" s="304"/>
      <c r="AW46" s="213"/>
      <c r="AX46" s="213"/>
      <c r="AY46" s="213"/>
      <c r="AZ46" s="213"/>
      <c r="BA46" s="213"/>
      <c r="BB46" s="213"/>
      <c r="BC46" s="213"/>
      <c r="BD46" s="213"/>
      <c r="BE46" s="213"/>
      <c r="BF46" s="213"/>
      <c r="BG46" s="213"/>
      <c r="BH46" s="213"/>
      <c r="BI46" s="213"/>
      <c r="BJ46" s="213"/>
    </row>
    <row r="47" spans="1:62" ht="15.6">
      <c r="A47" s="170">
        <f t="shared" si="7"/>
        <v>28</v>
      </c>
      <c r="B47" s="327">
        <v>316</v>
      </c>
      <c r="C47" s="287"/>
      <c r="D47" s="907">
        <v>0</v>
      </c>
      <c r="E47" s="907">
        <v>0</v>
      </c>
      <c r="F47" s="907">
        <v>0</v>
      </c>
      <c r="G47" s="907">
        <v>0</v>
      </c>
      <c r="H47" s="907">
        <v>0</v>
      </c>
      <c r="I47" s="907">
        <v>0</v>
      </c>
      <c r="J47" s="907">
        <v>0</v>
      </c>
      <c r="K47" s="907">
        <v>0</v>
      </c>
      <c r="L47" s="907">
        <v>0</v>
      </c>
      <c r="M47" s="907">
        <v>0</v>
      </c>
      <c r="N47" s="907">
        <v>0</v>
      </c>
      <c r="O47" s="907">
        <v>0</v>
      </c>
      <c r="P47" s="339"/>
      <c r="S47" s="277"/>
      <c r="T47" s="277"/>
      <c r="U47" s="303"/>
      <c r="V47" s="308"/>
      <c r="W47" s="308"/>
      <c r="X47" s="308"/>
      <c r="Y47" s="308"/>
      <c r="Z47" s="308"/>
      <c r="AA47" s="308"/>
      <c r="AB47" s="308"/>
      <c r="AC47" s="308"/>
      <c r="AD47" s="308"/>
      <c r="AE47" s="308"/>
      <c r="AF47" s="308"/>
      <c r="AG47" s="308"/>
      <c r="AH47" s="308"/>
      <c r="AI47" s="277"/>
      <c r="AJ47" s="216"/>
      <c r="AK47" s="304"/>
      <c r="AL47" s="303"/>
      <c r="AM47" s="216"/>
      <c r="AN47" s="304"/>
      <c r="AO47" s="277"/>
      <c r="AP47" s="303"/>
      <c r="AQ47" s="303"/>
      <c r="AR47" s="304"/>
      <c r="AS47" s="303"/>
      <c r="AT47" s="303"/>
      <c r="AU47" s="303"/>
      <c r="AV47" s="304"/>
      <c r="AW47" s="213"/>
      <c r="AX47" s="213"/>
      <c r="AY47" s="213"/>
      <c r="AZ47" s="213"/>
      <c r="BA47" s="213"/>
      <c r="BB47" s="213"/>
      <c r="BC47" s="213"/>
      <c r="BD47" s="213"/>
      <c r="BE47" s="213"/>
      <c r="BF47" s="213"/>
      <c r="BG47" s="213"/>
      <c r="BH47" s="213"/>
      <c r="BI47" s="213"/>
      <c r="BJ47" s="213"/>
    </row>
    <row r="48" spans="1:62" ht="15.6">
      <c r="A48" s="355"/>
      <c r="B48" s="336"/>
      <c r="C48" s="287"/>
      <c r="D48" s="287"/>
      <c r="E48" s="287"/>
      <c r="F48" s="287"/>
      <c r="G48" s="287"/>
      <c r="H48" s="287"/>
      <c r="I48" s="287"/>
      <c r="J48" s="287"/>
      <c r="K48" s="334"/>
      <c r="L48" s="287"/>
      <c r="M48" s="287"/>
      <c r="N48" s="287"/>
      <c r="O48" s="287"/>
      <c r="P48" s="339"/>
      <c r="S48" s="277"/>
      <c r="T48" s="277"/>
      <c r="U48" s="303"/>
      <c r="V48" s="308"/>
      <c r="W48" s="308"/>
      <c r="X48" s="308"/>
      <c r="Y48" s="308"/>
      <c r="Z48" s="308"/>
      <c r="AA48" s="308"/>
      <c r="AB48" s="308"/>
      <c r="AC48" s="308"/>
      <c r="AD48" s="308"/>
      <c r="AE48" s="308"/>
      <c r="AF48" s="308"/>
      <c r="AG48" s="308"/>
      <c r="AH48" s="308"/>
      <c r="AI48" s="277"/>
      <c r="AJ48" s="216"/>
      <c r="AK48" s="304"/>
      <c r="AL48" s="303"/>
      <c r="AM48" s="216"/>
      <c r="AN48" s="304"/>
      <c r="AO48" s="277"/>
      <c r="AP48" s="303"/>
      <c r="AQ48" s="303"/>
      <c r="AR48" s="304"/>
      <c r="AS48" s="303"/>
      <c r="AT48" s="303"/>
      <c r="AU48" s="303"/>
      <c r="AV48" s="304"/>
      <c r="AW48" s="213"/>
      <c r="AX48" s="213"/>
      <c r="AY48" s="213"/>
      <c r="AZ48" s="213"/>
      <c r="BA48" s="213"/>
      <c r="BB48" s="213"/>
      <c r="BC48" s="213"/>
      <c r="BD48" s="213"/>
      <c r="BE48" s="213"/>
      <c r="BF48" s="213"/>
      <c r="BG48" s="213"/>
      <c r="BH48" s="213"/>
      <c r="BI48" s="213"/>
      <c r="BJ48" s="213"/>
    </row>
    <row r="49" spans="1:62" ht="18.600000000000001">
      <c r="A49" s="355"/>
      <c r="B49" s="355" t="s">
        <v>1078</v>
      </c>
      <c r="C49" s="334" t="s">
        <v>727</v>
      </c>
      <c r="D49" s="1778" t="s">
        <v>728</v>
      </c>
      <c r="E49" s="1779"/>
      <c r="F49" s="1779"/>
      <c r="G49" s="1779"/>
      <c r="H49" s="1779"/>
      <c r="I49" s="1779"/>
      <c r="J49" s="1779"/>
      <c r="K49" s="1779"/>
      <c r="L49" s="1779"/>
      <c r="M49" s="1779"/>
      <c r="N49" s="1779"/>
      <c r="O49" s="1779"/>
      <c r="P49" s="1779"/>
      <c r="S49" s="277"/>
      <c r="T49" s="277"/>
      <c r="U49" s="216"/>
      <c r="V49" s="308"/>
      <c r="W49" s="308"/>
      <c r="X49" s="308"/>
      <c r="Y49" s="308"/>
      <c r="Z49" s="308"/>
      <c r="AA49" s="308"/>
      <c r="AB49" s="308"/>
      <c r="AC49" s="308"/>
      <c r="AD49" s="308"/>
      <c r="AE49" s="308"/>
      <c r="AF49" s="308"/>
      <c r="AG49" s="308"/>
      <c r="AH49" s="308"/>
      <c r="AI49" s="277"/>
      <c r="AJ49" s="216"/>
      <c r="AK49" s="304"/>
      <c r="AL49" s="303"/>
      <c r="AM49" s="216"/>
      <c r="AN49" s="304"/>
      <c r="AO49" s="277"/>
      <c r="AP49" s="303"/>
      <c r="AQ49" s="303"/>
      <c r="AR49" s="304"/>
      <c r="AS49" s="303"/>
      <c r="AT49" s="303"/>
      <c r="AU49" s="303"/>
      <c r="AV49" s="304"/>
      <c r="AW49" s="213"/>
      <c r="AX49" s="213"/>
      <c r="AY49" s="213"/>
      <c r="AZ49" s="213"/>
      <c r="BA49" s="213"/>
      <c r="BB49" s="213"/>
      <c r="BC49" s="213"/>
      <c r="BD49" s="213"/>
      <c r="BE49" s="213"/>
      <c r="BF49" s="213"/>
      <c r="BG49" s="213"/>
      <c r="BH49" s="213"/>
      <c r="BI49" s="213"/>
      <c r="BJ49" s="213"/>
    </row>
    <row r="50" spans="1:62" ht="18.600000000000001">
      <c r="A50" s="322"/>
      <c r="B50" s="322" t="s">
        <v>928</v>
      </c>
      <c r="C50" s="335" t="s">
        <v>729</v>
      </c>
      <c r="D50" s="358" t="s">
        <v>716</v>
      </c>
      <c r="E50" s="358" t="s">
        <v>717</v>
      </c>
      <c r="F50" s="358" t="s">
        <v>718</v>
      </c>
      <c r="G50" s="358" t="s">
        <v>719</v>
      </c>
      <c r="H50" s="358" t="s">
        <v>720</v>
      </c>
      <c r="I50" s="358" t="s">
        <v>721</v>
      </c>
      <c r="J50" s="358" t="s">
        <v>722</v>
      </c>
      <c r="K50" s="358" t="s">
        <v>723</v>
      </c>
      <c r="L50" s="358" t="s">
        <v>724</v>
      </c>
      <c r="M50" s="358" t="s">
        <v>725</v>
      </c>
      <c r="N50" s="358" t="s">
        <v>726</v>
      </c>
      <c r="O50" s="358" t="s">
        <v>715</v>
      </c>
      <c r="P50" s="360" t="s">
        <v>468</v>
      </c>
      <c r="S50" s="277"/>
      <c r="T50" s="277"/>
      <c r="U50" s="216"/>
      <c r="V50" s="308"/>
      <c r="W50" s="309"/>
      <c r="X50" s="309"/>
      <c r="Y50" s="309"/>
      <c r="Z50" s="309"/>
      <c r="AA50" s="309"/>
      <c r="AB50" s="309"/>
      <c r="AC50" s="309"/>
      <c r="AD50" s="309"/>
      <c r="AE50" s="309"/>
      <c r="AF50" s="309"/>
      <c r="AG50" s="309"/>
      <c r="AH50" s="309"/>
      <c r="AI50" s="277"/>
      <c r="AJ50" s="216"/>
      <c r="AK50" s="304"/>
      <c r="AL50" s="303"/>
      <c r="AM50" s="216"/>
      <c r="AN50" s="304"/>
      <c r="AO50" s="277"/>
      <c r="AP50" s="303"/>
      <c r="AQ50" s="303"/>
      <c r="AR50" s="304"/>
      <c r="AS50" s="303"/>
      <c r="AT50" s="303"/>
      <c r="AU50" s="303"/>
      <c r="AV50" s="304"/>
      <c r="AW50" s="213"/>
      <c r="AX50" s="213"/>
      <c r="AY50" s="213"/>
      <c r="AZ50" s="213"/>
      <c r="BA50" s="213"/>
      <c r="BB50" s="213"/>
      <c r="BC50" s="213"/>
      <c r="BD50" s="213"/>
      <c r="BE50" s="213"/>
      <c r="BF50" s="213"/>
      <c r="BG50" s="213"/>
      <c r="BH50" s="213"/>
      <c r="BI50" s="213"/>
      <c r="BJ50" s="213"/>
    </row>
    <row r="51" spans="1:62" ht="15.6">
      <c r="A51" s="170">
        <f>A47+1</f>
        <v>29</v>
      </c>
      <c r="B51" s="327">
        <f>B41</f>
        <v>311</v>
      </c>
      <c r="C51" s="906"/>
      <c r="D51" s="603">
        <f>D41*$C51/100/12</f>
        <v>0</v>
      </c>
      <c r="E51" s="603">
        <f>E41*$C51/100/12</f>
        <v>0</v>
      </c>
      <c r="F51" s="603">
        <f>F41*$C51/100/12</f>
        <v>0</v>
      </c>
      <c r="G51" s="603">
        <f t="shared" ref="G51:O56" si="8">G41*$C51/100/12</f>
        <v>0</v>
      </c>
      <c r="H51" s="603">
        <f t="shared" si="8"/>
        <v>0</v>
      </c>
      <c r="I51" s="603">
        <f t="shared" si="8"/>
        <v>0</v>
      </c>
      <c r="J51" s="603">
        <f t="shared" si="8"/>
        <v>0</v>
      </c>
      <c r="K51" s="603">
        <f t="shared" si="8"/>
        <v>0</v>
      </c>
      <c r="L51" s="603">
        <f t="shared" si="8"/>
        <v>0</v>
      </c>
      <c r="M51" s="603">
        <f t="shared" si="8"/>
        <v>0</v>
      </c>
      <c r="N51" s="603">
        <f t="shared" si="8"/>
        <v>0</v>
      </c>
      <c r="O51" s="603">
        <f t="shared" si="8"/>
        <v>0</v>
      </c>
      <c r="P51" s="333">
        <f>SUM(D51:O51)</f>
        <v>0</v>
      </c>
      <c r="S51" s="277"/>
      <c r="T51" s="277"/>
      <c r="U51" s="303"/>
      <c r="V51" s="308"/>
      <c r="W51" s="308"/>
      <c r="X51" s="308"/>
      <c r="Y51" s="308"/>
      <c r="Z51" s="308"/>
      <c r="AA51" s="308"/>
      <c r="AB51" s="308"/>
      <c r="AC51" s="308"/>
      <c r="AD51" s="308"/>
      <c r="AE51" s="308"/>
      <c r="AF51" s="308"/>
      <c r="AG51" s="308"/>
      <c r="AH51" s="308"/>
      <c r="AI51" s="277"/>
      <c r="AJ51" s="216"/>
      <c r="AK51" s="304"/>
      <c r="AL51" s="303"/>
      <c r="AM51" s="216"/>
      <c r="AN51" s="304"/>
      <c r="AO51" s="277"/>
      <c r="AP51" s="303"/>
      <c r="AQ51" s="303"/>
      <c r="AR51" s="304"/>
      <c r="AS51" s="303"/>
      <c r="AT51" s="303"/>
      <c r="AU51" s="303"/>
      <c r="AV51" s="304"/>
      <c r="AW51" s="213"/>
      <c r="AX51" s="213"/>
      <c r="AY51" s="213"/>
      <c r="AZ51" s="213"/>
      <c r="BA51" s="213"/>
      <c r="BB51" s="213"/>
      <c r="BC51" s="213"/>
      <c r="BD51" s="213"/>
      <c r="BE51" s="213"/>
      <c r="BF51" s="213"/>
      <c r="BG51" s="213"/>
      <c r="BH51" s="213"/>
      <c r="BI51" s="213"/>
      <c r="BJ51" s="213"/>
    </row>
    <row r="52" spans="1:62" ht="15.6">
      <c r="A52" s="170">
        <f t="shared" ref="A52:A57" si="9">A51+1</f>
        <v>30</v>
      </c>
      <c r="B52" s="327">
        <f t="shared" ref="B52:B57" si="10">B42</f>
        <v>312</v>
      </c>
      <c r="C52" s="906"/>
      <c r="D52" s="603">
        <f t="shared" ref="D52:O57" si="11">D42*$C52/100/12</f>
        <v>0</v>
      </c>
      <c r="E52" s="603">
        <f t="shared" si="11"/>
        <v>0</v>
      </c>
      <c r="F52" s="603">
        <f t="shared" si="11"/>
        <v>0</v>
      </c>
      <c r="G52" s="603">
        <f t="shared" si="11"/>
        <v>0</v>
      </c>
      <c r="H52" s="603">
        <f t="shared" si="11"/>
        <v>0</v>
      </c>
      <c r="I52" s="603">
        <f t="shared" si="8"/>
        <v>0</v>
      </c>
      <c r="J52" s="603">
        <f t="shared" si="8"/>
        <v>0</v>
      </c>
      <c r="K52" s="603">
        <f t="shared" si="8"/>
        <v>0</v>
      </c>
      <c r="L52" s="603">
        <f t="shared" si="8"/>
        <v>0</v>
      </c>
      <c r="M52" s="603">
        <f t="shared" si="8"/>
        <v>0</v>
      </c>
      <c r="N52" s="603">
        <f t="shared" si="8"/>
        <v>0</v>
      </c>
      <c r="O52" s="603">
        <f t="shared" si="8"/>
        <v>0</v>
      </c>
      <c r="P52" s="333">
        <f t="shared" ref="P52:P57" si="12">SUM(D52:O52)</f>
        <v>0</v>
      </c>
      <c r="S52" s="277"/>
      <c r="T52" s="277"/>
      <c r="U52" s="303"/>
      <c r="V52" s="308"/>
      <c r="W52" s="308"/>
      <c r="X52" s="308"/>
      <c r="Y52" s="308"/>
      <c r="Z52" s="308"/>
      <c r="AA52" s="308"/>
      <c r="AB52" s="308"/>
      <c r="AC52" s="308"/>
      <c r="AD52" s="308"/>
      <c r="AE52" s="308"/>
      <c r="AF52" s="308"/>
      <c r="AG52" s="308"/>
      <c r="AH52" s="308"/>
      <c r="AI52" s="277"/>
      <c r="AJ52" s="216"/>
      <c r="AK52" s="304"/>
      <c r="AL52" s="303"/>
      <c r="AM52" s="216"/>
      <c r="AN52" s="304"/>
      <c r="AO52" s="277"/>
      <c r="AP52" s="303"/>
      <c r="AQ52" s="303"/>
      <c r="AR52" s="304"/>
      <c r="AS52" s="303"/>
      <c r="AT52" s="303"/>
      <c r="AU52" s="303"/>
      <c r="AV52" s="304"/>
      <c r="AW52" s="213"/>
      <c r="AX52" s="213"/>
      <c r="AY52" s="213"/>
      <c r="AZ52" s="213"/>
      <c r="BA52" s="213"/>
      <c r="BB52" s="213"/>
      <c r="BC52" s="213"/>
      <c r="BD52" s="213"/>
      <c r="BE52" s="213"/>
      <c r="BF52" s="213"/>
      <c r="BG52" s="213"/>
      <c r="BH52" s="213"/>
      <c r="BI52" s="213"/>
      <c r="BJ52" s="213"/>
    </row>
    <row r="53" spans="1:62" ht="15.6">
      <c r="A53" s="170">
        <f t="shared" si="9"/>
        <v>31</v>
      </c>
      <c r="B53" s="327">
        <f t="shared" si="10"/>
        <v>312.10000000000002</v>
      </c>
      <c r="C53" s="906"/>
      <c r="D53" s="603">
        <f t="shared" si="11"/>
        <v>0</v>
      </c>
      <c r="E53" s="603">
        <f t="shared" si="11"/>
        <v>0</v>
      </c>
      <c r="F53" s="603">
        <f t="shared" si="11"/>
        <v>0</v>
      </c>
      <c r="G53" s="603">
        <f t="shared" si="11"/>
        <v>0</v>
      </c>
      <c r="H53" s="603">
        <f t="shared" si="11"/>
        <v>0</v>
      </c>
      <c r="I53" s="603">
        <f t="shared" si="8"/>
        <v>0</v>
      </c>
      <c r="J53" s="603">
        <f t="shared" si="8"/>
        <v>0</v>
      </c>
      <c r="K53" s="603">
        <f t="shared" si="8"/>
        <v>0</v>
      </c>
      <c r="L53" s="603">
        <f t="shared" si="8"/>
        <v>0</v>
      </c>
      <c r="M53" s="603">
        <f t="shared" si="8"/>
        <v>0</v>
      </c>
      <c r="N53" s="603">
        <f t="shared" si="8"/>
        <v>0</v>
      </c>
      <c r="O53" s="603">
        <f t="shared" si="8"/>
        <v>0</v>
      </c>
      <c r="P53" s="333">
        <f t="shared" si="12"/>
        <v>0</v>
      </c>
      <c r="S53" s="277"/>
      <c r="T53" s="277"/>
      <c r="U53" s="216"/>
      <c r="V53" s="308"/>
      <c r="W53" s="308"/>
      <c r="X53" s="308"/>
      <c r="Y53" s="308"/>
      <c r="Z53" s="308"/>
      <c r="AA53" s="308"/>
      <c r="AB53" s="308"/>
      <c r="AC53" s="308"/>
      <c r="AD53" s="308"/>
      <c r="AE53" s="308"/>
      <c r="AF53" s="308"/>
      <c r="AG53" s="308"/>
      <c r="AH53" s="308"/>
      <c r="AI53" s="277"/>
      <c r="AJ53" s="216"/>
      <c r="AK53" s="304"/>
      <c r="AL53" s="303"/>
      <c r="AM53" s="216"/>
      <c r="AN53" s="304"/>
      <c r="AO53" s="277"/>
      <c r="AP53" s="303"/>
      <c r="AQ53" s="303"/>
      <c r="AR53" s="304"/>
      <c r="AS53" s="303"/>
      <c r="AT53" s="303"/>
      <c r="AU53" s="303"/>
      <c r="AV53" s="304"/>
      <c r="AW53" s="213"/>
      <c r="AX53" s="213"/>
      <c r="AY53" s="213"/>
      <c r="AZ53" s="213"/>
      <c r="BA53" s="213"/>
      <c r="BB53" s="213"/>
      <c r="BC53" s="213"/>
      <c r="BD53" s="213"/>
      <c r="BE53" s="213"/>
      <c r="BF53" s="213"/>
      <c r="BG53" s="213"/>
      <c r="BH53" s="213"/>
      <c r="BI53" s="213"/>
      <c r="BJ53" s="213"/>
    </row>
    <row r="54" spans="1:62" ht="15.6">
      <c r="A54" s="170">
        <f t="shared" si="9"/>
        <v>32</v>
      </c>
      <c r="B54" s="327">
        <f t="shared" si="10"/>
        <v>312.2</v>
      </c>
      <c r="C54" s="906"/>
      <c r="D54" s="603">
        <f t="shared" si="11"/>
        <v>0</v>
      </c>
      <c r="E54" s="603">
        <f t="shared" si="11"/>
        <v>0</v>
      </c>
      <c r="F54" s="603">
        <f t="shared" si="11"/>
        <v>0</v>
      </c>
      <c r="G54" s="603">
        <f t="shared" si="11"/>
        <v>0</v>
      </c>
      <c r="H54" s="603">
        <f t="shared" si="11"/>
        <v>0</v>
      </c>
      <c r="I54" s="603">
        <f t="shared" si="8"/>
        <v>0</v>
      </c>
      <c r="J54" s="603">
        <f t="shared" si="8"/>
        <v>0</v>
      </c>
      <c r="K54" s="603">
        <f t="shared" si="8"/>
        <v>0</v>
      </c>
      <c r="L54" s="603">
        <f t="shared" si="8"/>
        <v>0</v>
      </c>
      <c r="M54" s="603">
        <f t="shared" si="8"/>
        <v>0</v>
      </c>
      <c r="N54" s="603">
        <f t="shared" si="8"/>
        <v>0</v>
      </c>
      <c r="O54" s="603">
        <f t="shared" si="8"/>
        <v>0</v>
      </c>
      <c r="P54" s="333">
        <f t="shared" si="12"/>
        <v>0</v>
      </c>
      <c r="S54" s="277"/>
      <c r="T54" s="277"/>
      <c r="U54" s="216"/>
      <c r="V54" s="308"/>
      <c r="W54" s="309"/>
      <c r="X54" s="309"/>
      <c r="Y54" s="309"/>
      <c r="Z54" s="309"/>
      <c r="AA54" s="309"/>
      <c r="AB54" s="309"/>
      <c r="AC54" s="309"/>
      <c r="AD54" s="309"/>
      <c r="AE54" s="309"/>
      <c r="AF54" s="309"/>
      <c r="AG54" s="309"/>
      <c r="AH54" s="309"/>
      <c r="AI54" s="277"/>
      <c r="AJ54" s="216"/>
      <c r="AK54" s="304"/>
      <c r="AL54" s="303"/>
      <c r="AM54" s="216"/>
      <c r="AN54" s="304"/>
      <c r="AO54" s="277"/>
      <c r="AP54" s="303"/>
      <c r="AQ54" s="303"/>
      <c r="AR54" s="304"/>
      <c r="AS54" s="303"/>
      <c r="AT54" s="303"/>
      <c r="AU54" s="303"/>
      <c r="AV54" s="304"/>
      <c r="AW54" s="213"/>
      <c r="AX54" s="213"/>
      <c r="AY54" s="213"/>
      <c r="AZ54" s="213"/>
      <c r="BA54" s="213"/>
      <c r="BB54" s="213"/>
      <c r="BC54" s="213"/>
      <c r="BD54" s="213"/>
      <c r="BE54" s="213"/>
      <c r="BF54" s="213"/>
      <c r="BG54" s="213"/>
      <c r="BH54" s="213"/>
      <c r="BI54" s="213"/>
      <c r="BJ54" s="213"/>
    </row>
    <row r="55" spans="1:62" ht="15.6">
      <c r="A55" s="170">
        <f t="shared" si="9"/>
        <v>33</v>
      </c>
      <c r="B55" s="327">
        <f t="shared" si="10"/>
        <v>314</v>
      </c>
      <c r="C55" s="906"/>
      <c r="D55" s="603">
        <f t="shared" si="11"/>
        <v>0</v>
      </c>
      <c r="E55" s="603">
        <f t="shared" si="11"/>
        <v>0</v>
      </c>
      <c r="F55" s="603">
        <f t="shared" si="11"/>
        <v>0</v>
      </c>
      <c r="G55" s="603">
        <f t="shared" si="11"/>
        <v>0</v>
      </c>
      <c r="H55" s="603">
        <f t="shared" si="11"/>
        <v>0</v>
      </c>
      <c r="I55" s="603">
        <f t="shared" si="8"/>
        <v>0</v>
      </c>
      <c r="J55" s="603">
        <f t="shared" si="8"/>
        <v>0</v>
      </c>
      <c r="K55" s="603">
        <f t="shared" si="8"/>
        <v>0</v>
      </c>
      <c r="L55" s="603">
        <f t="shared" si="8"/>
        <v>0</v>
      </c>
      <c r="M55" s="603">
        <f t="shared" si="8"/>
        <v>0</v>
      </c>
      <c r="N55" s="603">
        <f t="shared" si="8"/>
        <v>0</v>
      </c>
      <c r="O55" s="603">
        <f t="shared" si="8"/>
        <v>0</v>
      </c>
      <c r="P55" s="333">
        <f t="shared" si="12"/>
        <v>0</v>
      </c>
      <c r="S55" s="277"/>
      <c r="T55" s="277"/>
      <c r="U55" s="303"/>
      <c r="V55" s="308"/>
      <c r="W55" s="308"/>
      <c r="X55" s="308"/>
      <c r="Y55" s="308"/>
      <c r="Z55" s="308"/>
      <c r="AA55" s="308"/>
      <c r="AB55" s="308"/>
      <c r="AC55" s="308"/>
      <c r="AD55" s="308"/>
      <c r="AE55" s="308"/>
      <c r="AF55" s="308"/>
      <c r="AG55" s="308"/>
      <c r="AH55" s="308"/>
      <c r="AI55" s="277"/>
      <c r="AJ55" s="216"/>
      <c r="AK55" s="304"/>
      <c r="AL55" s="303"/>
      <c r="AM55" s="216"/>
      <c r="AN55" s="304"/>
      <c r="AO55" s="277"/>
      <c r="AP55" s="303"/>
      <c r="AQ55" s="303"/>
      <c r="AR55" s="304"/>
      <c r="AS55" s="303"/>
      <c r="AT55" s="303"/>
      <c r="AU55" s="303"/>
      <c r="AV55" s="304"/>
      <c r="AW55" s="213"/>
      <c r="AX55" s="213"/>
      <c r="AY55" s="213"/>
      <c r="AZ55" s="213"/>
      <c r="BA55" s="213"/>
      <c r="BB55" s="213"/>
      <c r="BC55" s="213"/>
      <c r="BD55" s="213"/>
      <c r="BE55" s="213"/>
      <c r="BF55" s="213"/>
      <c r="BG55" s="213"/>
      <c r="BH55" s="213"/>
      <c r="BI55" s="213"/>
      <c r="BJ55" s="213"/>
    </row>
    <row r="56" spans="1:62" ht="15.6">
      <c r="A56" s="170">
        <f t="shared" si="9"/>
        <v>34</v>
      </c>
      <c r="B56" s="327">
        <f t="shared" si="10"/>
        <v>315</v>
      </c>
      <c r="C56" s="906"/>
      <c r="D56" s="603">
        <f t="shared" si="11"/>
        <v>0</v>
      </c>
      <c r="E56" s="603">
        <f t="shared" si="11"/>
        <v>0</v>
      </c>
      <c r="F56" s="603">
        <f t="shared" si="11"/>
        <v>0</v>
      </c>
      <c r="G56" s="603">
        <f t="shared" si="11"/>
        <v>0</v>
      </c>
      <c r="H56" s="603">
        <f t="shared" si="11"/>
        <v>0</v>
      </c>
      <c r="I56" s="603">
        <f t="shared" si="8"/>
        <v>0</v>
      </c>
      <c r="J56" s="603">
        <f t="shared" si="8"/>
        <v>0</v>
      </c>
      <c r="K56" s="603">
        <f t="shared" si="8"/>
        <v>0</v>
      </c>
      <c r="L56" s="603">
        <f t="shared" si="8"/>
        <v>0</v>
      </c>
      <c r="M56" s="603">
        <f t="shared" si="8"/>
        <v>0</v>
      </c>
      <c r="N56" s="603">
        <f t="shared" si="8"/>
        <v>0</v>
      </c>
      <c r="O56" s="603">
        <f t="shared" si="8"/>
        <v>0</v>
      </c>
      <c r="P56" s="333">
        <f t="shared" si="12"/>
        <v>0</v>
      </c>
      <c r="S56" s="277"/>
      <c r="T56" s="277"/>
      <c r="U56" s="303"/>
      <c r="V56" s="308"/>
      <c r="W56" s="308"/>
      <c r="X56" s="308"/>
      <c r="Y56" s="308"/>
      <c r="Z56" s="308"/>
      <c r="AA56" s="308"/>
      <c r="AB56" s="308"/>
      <c r="AC56" s="308"/>
      <c r="AD56" s="308"/>
      <c r="AE56" s="308"/>
      <c r="AF56" s="308"/>
      <c r="AG56" s="308"/>
      <c r="AH56" s="308"/>
      <c r="AI56" s="277"/>
      <c r="AJ56" s="216"/>
      <c r="AK56" s="304"/>
      <c r="AL56" s="303"/>
      <c r="AM56" s="216"/>
      <c r="AN56" s="304"/>
      <c r="AO56" s="277"/>
      <c r="AP56" s="303"/>
      <c r="AQ56" s="303"/>
      <c r="AR56" s="304"/>
      <c r="AS56" s="303"/>
      <c r="AT56" s="303"/>
      <c r="AU56" s="303"/>
      <c r="AV56" s="304"/>
      <c r="AW56" s="213"/>
      <c r="AX56" s="213"/>
      <c r="AY56" s="213"/>
      <c r="AZ56" s="213"/>
      <c r="BA56" s="213"/>
      <c r="BB56" s="213"/>
      <c r="BC56" s="213"/>
      <c r="BD56" s="213"/>
      <c r="BE56" s="213"/>
      <c r="BF56" s="213"/>
      <c r="BG56" s="213"/>
      <c r="BH56" s="213"/>
      <c r="BI56" s="213"/>
      <c r="BJ56" s="213"/>
    </row>
    <row r="57" spans="1:62" ht="15.6">
      <c r="A57" s="170">
        <f t="shared" si="9"/>
        <v>35</v>
      </c>
      <c r="B57" s="327">
        <f t="shared" si="10"/>
        <v>316</v>
      </c>
      <c r="C57" s="906"/>
      <c r="D57" s="603">
        <f t="shared" si="11"/>
        <v>0</v>
      </c>
      <c r="E57" s="603">
        <f t="shared" si="11"/>
        <v>0</v>
      </c>
      <c r="F57" s="603">
        <f t="shared" si="11"/>
        <v>0</v>
      </c>
      <c r="G57" s="603">
        <f t="shared" si="11"/>
        <v>0</v>
      </c>
      <c r="H57" s="603">
        <f t="shared" si="11"/>
        <v>0</v>
      </c>
      <c r="I57" s="603">
        <f t="shared" si="11"/>
        <v>0</v>
      </c>
      <c r="J57" s="603">
        <f t="shared" si="11"/>
        <v>0</v>
      </c>
      <c r="K57" s="603">
        <f t="shared" si="11"/>
        <v>0</v>
      </c>
      <c r="L57" s="603">
        <f t="shared" si="11"/>
        <v>0</v>
      </c>
      <c r="M57" s="603">
        <f t="shared" si="11"/>
        <v>0</v>
      </c>
      <c r="N57" s="603">
        <f t="shared" si="11"/>
        <v>0</v>
      </c>
      <c r="O57" s="603">
        <f t="shared" si="11"/>
        <v>0</v>
      </c>
      <c r="P57" s="361">
        <f t="shared" si="12"/>
        <v>0</v>
      </c>
      <c r="S57" s="277"/>
      <c r="T57" s="277"/>
      <c r="U57" s="216"/>
      <c r="V57" s="308"/>
      <c r="W57" s="308"/>
      <c r="X57" s="308"/>
      <c r="Y57" s="308"/>
      <c r="Z57" s="308"/>
      <c r="AA57" s="308"/>
      <c r="AB57" s="308"/>
      <c r="AC57" s="308"/>
      <c r="AD57" s="308"/>
      <c r="AE57" s="308"/>
      <c r="AF57" s="308"/>
      <c r="AG57" s="308"/>
      <c r="AH57" s="308"/>
      <c r="AI57" s="277"/>
      <c r="AJ57" s="216"/>
      <c r="AK57" s="304"/>
      <c r="AL57" s="303"/>
      <c r="AM57" s="216"/>
      <c r="AN57" s="304"/>
      <c r="AO57" s="277"/>
      <c r="AP57" s="303"/>
      <c r="AQ57" s="303"/>
      <c r="AR57" s="304"/>
      <c r="AS57" s="303"/>
      <c r="AT57" s="303"/>
      <c r="AU57" s="303"/>
      <c r="AV57" s="303"/>
      <c r="AW57" s="213"/>
      <c r="AX57" s="213"/>
      <c r="AY57" s="213"/>
      <c r="AZ57" s="213"/>
      <c r="BA57" s="213"/>
      <c r="BB57" s="213"/>
      <c r="BC57" s="213"/>
      <c r="BD57" s="213"/>
      <c r="BE57" s="213"/>
      <c r="BF57" s="213"/>
      <c r="BG57" s="213"/>
      <c r="BH57" s="213"/>
      <c r="BI57" s="213"/>
      <c r="BJ57" s="213"/>
    </row>
    <row r="58" spans="1:62" ht="15.6">
      <c r="A58" s="170"/>
      <c r="B58" s="327"/>
      <c r="C58" s="324"/>
      <c r="D58" s="328"/>
      <c r="E58" s="328"/>
      <c r="F58" s="328"/>
      <c r="G58" s="328"/>
      <c r="H58" s="328"/>
      <c r="I58" s="328"/>
      <c r="J58" s="328"/>
      <c r="K58" s="328"/>
      <c r="L58" s="328"/>
      <c r="M58" s="328"/>
      <c r="N58" s="328"/>
      <c r="O58" s="328"/>
      <c r="P58" s="362"/>
      <c r="S58" s="277"/>
      <c r="T58" s="277"/>
      <c r="U58" s="216"/>
      <c r="V58" s="308"/>
      <c r="W58" s="309"/>
      <c r="X58" s="309"/>
      <c r="Y58" s="309"/>
      <c r="Z58" s="309"/>
      <c r="AA58" s="309"/>
      <c r="AB58" s="309"/>
      <c r="AC58" s="309"/>
      <c r="AD58" s="309"/>
      <c r="AE58" s="309"/>
      <c r="AF58" s="309"/>
      <c r="AG58" s="309"/>
      <c r="AH58" s="309"/>
      <c r="AI58" s="277"/>
      <c r="AJ58" s="216"/>
      <c r="AK58" s="304"/>
      <c r="AL58" s="303"/>
      <c r="AM58" s="216"/>
      <c r="AN58" s="304"/>
      <c r="AO58" s="277"/>
      <c r="AP58" s="303"/>
      <c r="AQ58" s="303"/>
      <c r="AR58" s="304"/>
      <c r="AS58" s="303"/>
      <c r="AT58" s="303"/>
      <c r="AU58" s="303"/>
      <c r="AV58" s="304"/>
      <c r="AW58" s="213"/>
      <c r="AX58" s="213"/>
      <c r="AY58" s="213"/>
      <c r="AZ58" s="213"/>
      <c r="BA58" s="213"/>
      <c r="BB58" s="213"/>
      <c r="BC58" s="213"/>
      <c r="BD58" s="213"/>
      <c r="BE58" s="213"/>
      <c r="BF58" s="213"/>
      <c r="BG58" s="213"/>
      <c r="BH58" s="213"/>
      <c r="BI58" s="213"/>
      <c r="BJ58" s="213"/>
    </row>
    <row r="59" spans="1:62" ht="18.600000000000001">
      <c r="A59" s="355"/>
      <c r="B59" s="355" t="s">
        <v>1078</v>
      </c>
      <c r="C59" s="334" t="s">
        <v>730</v>
      </c>
      <c r="D59" s="1778" t="s">
        <v>731</v>
      </c>
      <c r="E59" s="1779"/>
      <c r="F59" s="1779"/>
      <c r="G59" s="1779"/>
      <c r="H59" s="1779"/>
      <c r="I59" s="1779"/>
      <c r="J59" s="1779"/>
      <c r="K59" s="1779"/>
      <c r="L59" s="1779"/>
      <c r="M59" s="1779"/>
      <c r="N59" s="1779"/>
      <c r="O59" s="1779"/>
      <c r="P59" s="1779"/>
      <c r="S59" s="277"/>
      <c r="T59" s="277"/>
      <c r="U59" s="303"/>
      <c r="V59" s="308"/>
      <c r="W59" s="308"/>
      <c r="X59" s="308"/>
      <c r="Y59" s="308"/>
      <c r="Z59" s="308"/>
      <c r="AA59" s="308"/>
      <c r="AB59" s="308"/>
      <c r="AC59" s="308"/>
      <c r="AD59" s="308"/>
      <c r="AE59" s="308"/>
      <c r="AF59" s="308"/>
      <c r="AG59" s="308"/>
      <c r="AH59" s="308"/>
      <c r="AI59" s="277"/>
      <c r="AJ59" s="216"/>
      <c r="AK59" s="304"/>
      <c r="AL59" s="303"/>
      <c r="AM59" s="216"/>
      <c r="AN59" s="304"/>
      <c r="AO59" s="277"/>
      <c r="AP59" s="303"/>
      <c r="AQ59" s="303"/>
      <c r="AR59" s="304"/>
      <c r="AS59" s="303"/>
      <c r="AT59" s="303"/>
      <c r="AU59" s="303"/>
      <c r="AV59" s="304"/>
      <c r="AW59" s="213"/>
      <c r="AX59" s="213"/>
      <c r="AY59" s="213"/>
      <c r="AZ59" s="213"/>
      <c r="BA59" s="213"/>
      <c r="BB59" s="213"/>
      <c r="BC59" s="213"/>
      <c r="BD59" s="213"/>
      <c r="BE59" s="213"/>
      <c r="BF59" s="213"/>
      <c r="BG59" s="213"/>
      <c r="BH59" s="213"/>
      <c r="BI59" s="213"/>
      <c r="BJ59" s="213"/>
    </row>
    <row r="60" spans="1:62" ht="18.600000000000001">
      <c r="A60" s="355"/>
      <c r="B60" s="322" t="s">
        <v>928</v>
      </c>
      <c r="C60" s="335" t="s">
        <v>732</v>
      </c>
      <c r="D60" s="358" t="s">
        <v>716</v>
      </c>
      <c r="E60" s="358" t="s">
        <v>717</v>
      </c>
      <c r="F60" s="358" t="s">
        <v>718</v>
      </c>
      <c r="G60" s="358" t="s">
        <v>719</v>
      </c>
      <c r="H60" s="358" t="s">
        <v>720</v>
      </c>
      <c r="I60" s="358" t="s">
        <v>721</v>
      </c>
      <c r="J60" s="358" t="s">
        <v>722</v>
      </c>
      <c r="K60" s="358" t="s">
        <v>723</v>
      </c>
      <c r="L60" s="358" t="s">
        <v>724</v>
      </c>
      <c r="M60" s="358" t="s">
        <v>725</v>
      </c>
      <c r="N60" s="358" t="s">
        <v>726</v>
      </c>
      <c r="O60" s="358" t="s">
        <v>715</v>
      </c>
      <c r="P60" s="360" t="s">
        <v>628</v>
      </c>
      <c r="S60" s="277"/>
      <c r="T60" s="277"/>
      <c r="U60" s="303"/>
      <c r="V60" s="308"/>
      <c r="W60" s="308"/>
      <c r="X60" s="308"/>
      <c r="Y60" s="308"/>
      <c r="Z60" s="308"/>
      <c r="AA60" s="308"/>
      <c r="AB60" s="308"/>
      <c r="AC60" s="308"/>
      <c r="AD60" s="308"/>
      <c r="AE60" s="308"/>
      <c r="AF60" s="308"/>
      <c r="AG60" s="308"/>
      <c r="AH60" s="308"/>
      <c r="AI60" s="277"/>
      <c r="AJ60" s="216"/>
      <c r="AK60" s="304"/>
      <c r="AL60" s="303"/>
      <c r="AM60" s="216"/>
      <c r="AN60" s="304"/>
      <c r="AO60" s="277"/>
      <c r="AP60" s="303"/>
      <c r="AQ60" s="303"/>
      <c r="AR60" s="304"/>
      <c r="AS60" s="303"/>
      <c r="AT60" s="303"/>
      <c r="AU60" s="303"/>
      <c r="AV60" s="304"/>
      <c r="AW60" s="213"/>
      <c r="AX60" s="213"/>
      <c r="AY60" s="213"/>
      <c r="AZ60" s="213"/>
      <c r="BA60" s="213"/>
      <c r="BB60" s="213"/>
      <c r="BC60" s="213"/>
      <c r="BD60" s="213"/>
      <c r="BE60" s="213"/>
      <c r="BF60" s="213"/>
      <c r="BG60" s="213"/>
      <c r="BH60" s="213"/>
      <c r="BI60" s="213"/>
      <c r="BJ60" s="213"/>
    </row>
    <row r="61" spans="1:62" ht="15.6">
      <c r="A61" s="170">
        <f>A57+1</f>
        <v>36</v>
      </c>
      <c r="B61" s="327">
        <f>B41</f>
        <v>311</v>
      </c>
      <c r="C61" s="907">
        <v>0</v>
      </c>
      <c r="D61" s="603">
        <f>C61+D51</f>
        <v>0</v>
      </c>
      <c r="E61" s="603">
        <f>D61+E51</f>
        <v>0</v>
      </c>
      <c r="F61" s="603">
        <f t="shared" ref="F61:O61" si="13">E61+F51</f>
        <v>0</v>
      </c>
      <c r="G61" s="603">
        <f t="shared" si="13"/>
        <v>0</v>
      </c>
      <c r="H61" s="603">
        <f t="shared" si="13"/>
        <v>0</v>
      </c>
      <c r="I61" s="603">
        <f t="shared" si="13"/>
        <v>0</v>
      </c>
      <c r="J61" s="603">
        <f t="shared" si="13"/>
        <v>0</v>
      </c>
      <c r="K61" s="603">
        <f t="shared" si="13"/>
        <v>0</v>
      </c>
      <c r="L61" s="603">
        <f t="shared" si="13"/>
        <v>0</v>
      </c>
      <c r="M61" s="603">
        <f t="shared" si="13"/>
        <v>0</v>
      </c>
      <c r="N61" s="603">
        <f t="shared" si="13"/>
        <v>0</v>
      </c>
      <c r="O61" s="603">
        <f t="shared" si="13"/>
        <v>0</v>
      </c>
      <c r="P61" s="333">
        <f>O61</f>
        <v>0</v>
      </c>
      <c r="S61" s="277"/>
      <c r="T61" s="277"/>
      <c r="U61" s="216"/>
      <c r="V61" s="308"/>
      <c r="W61" s="308"/>
      <c r="X61" s="308"/>
      <c r="Y61" s="308"/>
      <c r="Z61" s="308"/>
      <c r="AA61" s="308"/>
      <c r="AB61" s="308"/>
      <c r="AC61" s="308"/>
      <c r="AD61" s="308"/>
      <c r="AE61" s="308"/>
      <c r="AF61" s="308"/>
      <c r="AG61" s="308"/>
      <c r="AH61" s="308"/>
      <c r="AI61" s="277"/>
      <c r="AJ61" s="216"/>
      <c r="AK61" s="304"/>
      <c r="AL61" s="303"/>
      <c r="AM61" s="216"/>
      <c r="AN61" s="304"/>
      <c r="AO61" s="277"/>
      <c r="AP61" s="303"/>
      <c r="AQ61" s="303"/>
      <c r="AR61" s="304"/>
      <c r="AS61" s="303"/>
      <c r="AT61" s="303"/>
      <c r="AU61" s="303"/>
      <c r="AV61" s="304"/>
      <c r="AW61" s="213"/>
      <c r="AX61" s="213"/>
      <c r="AY61" s="213"/>
      <c r="AZ61" s="213"/>
      <c r="BA61" s="213"/>
      <c r="BB61" s="213"/>
      <c r="BC61" s="213"/>
      <c r="BD61" s="213"/>
      <c r="BE61" s="213"/>
      <c r="BF61" s="213"/>
      <c r="BG61" s="213"/>
      <c r="BH61" s="213"/>
      <c r="BI61" s="213"/>
      <c r="BJ61" s="213"/>
    </row>
    <row r="62" spans="1:62" ht="15.6">
      <c r="A62" s="170">
        <f t="shared" ref="A62:A67" si="14">A61+1</f>
        <v>37</v>
      </c>
      <c r="B62" s="327">
        <f t="shared" ref="B62:B67" si="15">B42</f>
        <v>312</v>
      </c>
      <c r="C62" s="907">
        <v>0</v>
      </c>
      <c r="D62" s="603">
        <f t="shared" ref="D62:O67" si="16">C62+D52</f>
        <v>0</v>
      </c>
      <c r="E62" s="603">
        <f t="shared" si="16"/>
        <v>0</v>
      </c>
      <c r="F62" s="603">
        <f t="shared" si="16"/>
        <v>0</v>
      </c>
      <c r="G62" s="603">
        <f t="shared" si="16"/>
        <v>0</v>
      </c>
      <c r="H62" s="603">
        <f t="shared" si="16"/>
        <v>0</v>
      </c>
      <c r="I62" s="603">
        <f t="shared" si="16"/>
        <v>0</v>
      </c>
      <c r="J62" s="603">
        <f t="shared" si="16"/>
        <v>0</v>
      </c>
      <c r="K62" s="603">
        <f t="shared" si="16"/>
        <v>0</v>
      </c>
      <c r="L62" s="603">
        <f t="shared" si="16"/>
        <v>0</v>
      </c>
      <c r="M62" s="603">
        <f t="shared" si="16"/>
        <v>0</v>
      </c>
      <c r="N62" s="603">
        <f t="shared" si="16"/>
        <v>0</v>
      </c>
      <c r="O62" s="603">
        <f t="shared" si="16"/>
        <v>0</v>
      </c>
      <c r="P62" s="333">
        <f t="shared" ref="P62:P67" si="17">O62</f>
        <v>0</v>
      </c>
      <c r="S62" s="277"/>
      <c r="T62" s="277"/>
      <c r="U62" s="216"/>
      <c r="V62" s="308"/>
      <c r="W62" s="309"/>
      <c r="X62" s="309"/>
      <c r="Y62" s="309"/>
      <c r="Z62" s="309"/>
      <c r="AA62" s="309"/>
      <c r="AB62" s="309"/>
      <c r="AC62" s="309"/>
      <c r="AD62" s="309"/>
      <c r="AE62" s="309"/>
      <c r="AF62" s="309"/>
      <c r="AG62" s="309"/>
      <c r="AH62" s="309"/>
      <c r="AI62" s="277"/>
      <c r="AJ62" s="216"/>
      <c r="AK62" s="304"/>
      <c r="AL62" s="303"/>
      <c r="AM62" s="216"/>
      <c r="AN62" s="304"/>
      <c r="AO62" s="277"/>
      <c r="AP62" s="303"/>
      <c r="AQ62" s="303"/>
      <c r="AR62" s="304"/>
      <c r="AS62" s="303"/>
      <c r="AT62" s="303"/>
      <c r="AU62" s="303"/>
      <c r="AV62" s="304"/>
      <c r="AW62" s="213"/>
      <c r="AX62" s="213"/>
      <c r="AY62" s="213"/>
      <c r="AZ62" s="213"/>
      <c r="BA62" s="213"/>
      <c r="BB62" s="213"/>
      <c r="BC62" s="213"/>
      <c r="BD62" s="213"/>
      <c r="BE62" s="213"/>
      <c r="BF62" s="213"/>
      <c r="BG62" s="213"/>
      <c r="BH62" s="213"/>
      <c r="BI62" s="213"/>
      <c r="BJ62" s="213"/>
    </row>
    <row r="63" spans="1:62" ht="15.6">
      <c r="A63" s="170">
        <f t="shared" si="14"/>
        <v>38</v>
      </c>
      <c r="B63" s="327">
        <f t="shared" si="15"/>
        <v>312.10000000000002</v>
      </c>
      <c r="C63" s="907">
        <v>0</v>
      </c>
      <c r="D63" s="603">
        <f t="shared" si="16"/>
        <v>0</v>
      </c>
      <c r="E63" s="603">
        <f t="shared" si="16"/>
        <v>0</v>
      </c>
      <c r="F63" s="603">
        <f t="shared" si="16"/>
        <v>0</v>
      </c>
      <c r="G63" s="603">
        <f t="shared" si="16"/>
        <v>0</v>
      </c>
      <c r="H63" s="603">
        <f t="shared" si="16"/>
        <v>0</v>
      </c>
      <c r="I63" s="603">
        <f t="shared" si="16"/>
        <v>0</v>
      </c>
      <c r="J63" s="603">
        <f t="shared" si="16"/>
        <v>0</v>
      </c>
      <c r="K63" s="603">
        <f t="shared" si="16"/>
        <v>0</v>
      </c>
      <c r="L63" s="603">
        <f t="shared" si="16"/>
        <v>0</v>
      </c>
      <c r="M63" s="603">
        <f t="shared" si="16"/>
        <v>0</v>
      </c>
      <c r="N63" s="603">
        <f t="shared" si="16"/>
        <v>0</v>
      </c>
      <c r="O63" s="603">
        <f t="shared" si="16"/>
        <v>0</v>
      </c>
      <c r="P63" s="333">
        <f t="shared" si="17"/>
        <v>0</v>
      </c>
      <c r="S63" s="277"/>
      <c r="T63" s="277"/>
      <c r="U63" s="303"/>
      <c r="V63" s="308"/>
      <c r="W63" s="308"/>
      <c r="X63" s="308"/>
      <c r="Y63" s="308"/>
      <c r="Z63" s="308"/>
      <c r="AA63" s="308"/>
      <c r="AB63" s="308"/>
      <c r="AC63" s="308"/>
      <c r="AD63" s="308"/>
      <c r="AE63" s="308"/>
      <c r="AF63" s="308"/>
      <c r="AG63" s="308"/>
      <c r="AH63" s="308"/>
      <c r="AI63" s="277"/>
      <c r="AJ63" s="216"/>
      <c r="AK63" s="304"/>
      <c r="AL63" s="303"/>
      <c r="AM63" s="216"/>
      <c r="AN63" s="304"/>
      <c r="AO63" s="277"/>
      <c r="AP63" s="303"/>
      <c r="AQ63" s="303"/>
      <c r="AR63" s="304"/>
      <c r="AS63" s="303"/>
      <c r="AT63" s="303"/>
      <c r="AU63" s="303"/>
      <c r="AV63" s="304"/>
      <c r="AW63" s="213"/>
      <c r="AX63" s="213"/>
      <c r="AY63" s="213"/>
      <c r="AZ63" s="213"/>
      <c r="BA63" s="213"/>
      <c r="BB63" s="213"/>
      <c r="BC63" s="213"/>
      <c r="BD63" s="213"/>
      <c r="BE63" s="213"/>
      <c r="BF63" s="213"/>
      <c r="BG63" s="213"/>
      <c r="BH63" s="213"/>
      <c r="BI63" s="213"/>
      <c r="BJ63" s="213"/>
    </row>
    <row r="64" spans="1:62" ht="15.6">
      <c r="A64" s="170">
        <f t="shared" si="14"/>
        <v>39</v>
      </c>
      <c r="B64" s="327">
        <f t="shared" si="15"/>
        <v>312.2</v>
      </c>
      <c r="C64" s="907">
        <v>0</v>
      </c>
      <c r="D64" s="603">
        <f t="shared" si="16"/>
        <v>0</v>
      </c>
      <c r="E64" s="603">
        <f t="shared" si="16"/>
        <v>0</v>
      </c>
      <c r="F64" s="603">
        <f t="shared" si="16"/>
        <v>0</v>
      </c>
      <c r="G64" s="603">
        <f t="shared" si="16"/>
        <v>0</v>
      </c>
      <c r="H64" s="603">
        <f t="shared" si="16"/>
        <v>0</v>
      </c>
      <c r="I64" s="603">
        <f t="shared" si="16"/>
        <v>0</v>
      </c>
      <c r="J64" s="603">
        <f t="shared" si="16"/>
        <v>0</v>
      </c>
      <c r="K64" s="603">
        <f t="shared" si="16"/>
        <v>0</v>
      </c>
      <c r="L64" s="603">
        <f t="shared" si="16"/>
        <v>0</v>
      </c>
      <c r="M64" s="603">
        <f t="shared" si="16"/>
        <v>0</v>
      </c>
      <c r="N64" s="603">
        <f t="shared" si="16"/>
        <v>0</v>
      </c>
      <c r="O64" s="603">
        <f t="shared" si="16"/>
        <v>0</v>
      </c>
      <c r="P64" s="333">
        <f t="shared" si="17"/>
        <v>0</v>
      </c>
      <c r="S64" s="277"/>
      <c r="T64" s="277"/>
      <c r="U64" s="303"/>
      <c r="V64" s="308"/>
      <c r="W64" s="308"/>
      <c r="X64" s="308"/>
      <c r="Y64" s="308"/>
      <c r="Z64" s="308"/>
      <c r="AA64" s="308"/>
      <c r="AB64" s="308"/>
      <c r="AC64" s="308"/>
      <c r="AD64" s="308"/>
      <c r="AE64" s="308"/>
      <c r="AF64" s="308"/>
      <c r="AG64" s="308"/>
      <c r="AH64" s="308"/>
      <c r="AI64" s="277"/>
      <c r="AJ64" s="216"/>
      <c r="AK64" s="304"/>
      <c r="AL64" s="303"/>
      <c r="AM64" s="216"/>
      <c r="AN64" s="304"/>
      <c r="AO64" s="277"/>
      <c r="AP64" s="303"/>
      <c r="AQ64" s="303"/>
      <c r="AR64" s="304"/>
      <c r="AS64" s="303"/>
      <c r="AT64" s="303"/>
      <c r="AU64" s="303"/>
      <c r="AV64" s="304"/>
      <c r="AW64" s="213"/>
      <c r="AX64" s="213"/>
      <c r="AY64" s="213"/>
      <c r="AZ64" s="213"/>
      <c r="BA64" s="213"/>
      <c r="BB64" s="213"/>
      <c r="BC64" s="213"/>
      <c r="BD64" s="213"/>
      <c r="BE64" s="213"/>
      <c r="BF64" s="213"/>
      <c r="BG64" s="213"/>
      <c r="BH64" s="213"/>
      <c r="BI64" s="213"/>
      <c r="BJ64" s="213"/>
    </row>
    <row r="65" spans="1:62" ht="15.6">
      <c r="A65" s="170">
        <f t="shared" si="14"/>
        <v>40</v>
      </c>
      <c r="B65" s="327">
        <f t="shared" si="15"/>
        <v>314</v>
      </c>
      <c r="C65" s="907">
        <v>0</v>
      </c>
      <c r="D65" s="603">
        <f t="shared" si="16"/>
        <v>0</v>
      </c>
      <c r="E65" s="603">
        <f t="shared" si="16"/>
        <v>0</v>
      </c>
      <c r="F65" s="603">
        <f t="shared" si="16"/>
        <v>0</v>
      </c>
      <c r="G65" s="603">
        <f t="shared" si="16"/>
        <v>0</v>
      </c>
      <c r="H65" s="603">
        <f t="shared" si="16"/>
        <v>0</v>
      </c>
      <c r="I65" s="603">
        <f t="shared" si="16"/>
        <v>0</v>
      </c>
      <c r="J65" s="603">
        <f t="shared" si="16"/>
        <v>0</v>
      </c>
      <c r="K65" s="603">
        <f t="shared" si="16"/>
        <v>0</v>
      </c>
      <c r="L65" s="603">
        <f t="shared" si="16"/>
        <v>0</v>
      </c>
      <c r="M65" s="603">
        <f t="shared" si="16"/>
        <v>0</v>
      </c>
      <c r="N65" s="603">
        <f t="shared" si="16"/>
        <v>0</v>
      </c>
      <c r="O65" s="603">
        <f t="shared" si="16"/>
        <v>0</v>
      </c>
      <c r="P65" s="333">
        <f t="shared" si="17"/>
        <v>0</v>
      </c>
      <c r="S65" s="277"/>
      <c r="T65" s="277"/>
      <c r="U65" s="216"/>
      <c r="V65" s="308"/>
      <c r="W65" s="308"/>
      <c r="X65" s="308"/>
      <c r="Y65" s="308"/>
      <c r="Z65" s="308"/>
      <c r="AA65" s="308"/>
      <c r="AB65" s="308"/>
      <c r="AC65" s="308"/>
      <c r="AD65" s="308"/>
      <c r="AE65" s="308"/>
      <c r="AF65" s="308"/>
      <c r="AG65" s="308"/>
      <c r="AH65" s="308"/>
      <c r="AI65" s="277"/>
      <c r="AJ65" s="216"/>
      <c r="AK65" s="304"/>
      <c r="AL65" s="303"/>
      <c r="AM65" s="216"/>
      <c r="AN65" s="304"/>
      <c r="AO65" s="277"/>
      <c r="AP65" s="303"/>
      <c r="AQ65" s="303"/>
      <c r="AR65" s="304"/>
      <c r="AS65" s="303"/>
      <c r="AT65" s="303"/>
      <c r="AU65" s="303"/>
      <c r="AV65" s="304"/>
      <c r="AW65" s="213"/>
      <c r="AX65" s="213"/>
      <c r="AY65" s="213"/>
      <c r="AZ65" s="213"/>
      <c r="BA65" s="213"/>
      <c r="BB65" s="213"/>
      <c r="BC65" s="213"/>
      <c r="BD65" s="213"/>
      <c r="BE65" s="213"/>
      <c r="BF65" s="213"/>
      <c r="BG65" s="213"/>
      <c r="BH65" s="213"/>
      <c r="BI65" s="213"/>
      <c r="BJ65" s="213"/>
    </row>
    <row r="66" spans="1:62" ht="15.6">
      <c r="A66" s="170">
        <f t="shared" si="14"/>
        <v>41</v>
      </c>
      <c r="B66" s="327">
        <f t="shared" si="15"/>
        <v>315</v>
      </c>
      <c r="C66" s="907">
        <v>0</v>
      </c>
      <c r="D66" s="603">
        <f t="shared" si="16"/>
        <v>0</v>
      </c>
      <c r="E66" s="603">
        <f t="shared" si="16"/>
        <v>0</v>
      </c>
      <c r="F66" s="603">
        <f t="shared" si="16"/>
        <v>0</v>
      </c>
      <c r="G66" s="603">
        <f t="shared" si="16"/>
        <v>0</v>
      </c>
      <c r="H66" s="603">
        <f t="shared" si="16"/>
        <v>0</v>
      </c>
      <c r="I66" s="603">
        <f t="shared" si="16"/>
        <v>0</v>
      </c>
      <c r="J66" s="603">
        <f t="shared" si="16"/>
        <v>0</v>
      </c>
      <c r="K66" s="603">
        <f t="shared" si="16"/>
        <v>0</v>
      </c>
      <c r="L66" s="603">
        <f t="shared" si="16"/>
        <v>0</v>
      </c>
      <c r="M66" s="603">
        <f t="shared" si="16"/>
        <v>0</v>
      </c>
      <c r="N66" s="603">
        <f t="shared" si="16"/>
        <v>0</v>
      </c>
      <c r="O66" s="603">
        <f t="shared" si="16"/>
        <v>0</v>
      </c>
      <c r="P66" s="333">
        <f t="shared" si="17"/>
        <v>0</v>
      </c>
      <c r="S66" s="277"/>
      <c r="T66" s="277"/>
      <c r="U66" s="216"/>
      <c r="V66" s="308"/>
      <c r="W66" s="309"/>
      <c r="X66" s="309"/>
      <c r="Y66" s="309"/>
      <c r="Z66" s="309"/>
      <c r="AA66" s="309"/>
      <c r="AB66" s="309"/>
      <c r="AC66" s="309"/>
      <c r="AD66" s="309"/>
      <c r="AE66" s="309"/>
      <c r="AF66" s="309"/>
      <c r="AG66" s="309"/>
      <c r="AH66" s="309"/>
      <c r="AI66" s="277"/>
      <c r="AJ66" s="216"/>
      <c r="AK66" s="304"/>
      <c r="AL66" s="303"/>
      <c r="AM66" s="216"/>
      <c r="AN66" s="304"/>
      <c r="AO66" s="277"/>
      <c r="AP66" s="303"/>
      <c r="AQ66" s="303"/>
      <c r="AR66" s="304"/>
      <c r="AS66" s="303"/>
      <c r="AT66" s="303"/>
      <c r="AU66" s="303"/>
      <c r="AV66" s="304"/>
      <c r="AW66" s="213"/>
      <c r="AX66" s="213"/>
      <c r="AY66" s="213"/>
      <c r="AZ66" s="213"/>
      <c r="BA66" s="213"/>
      <c r="BB66" s="213"/>
      <c r="BC66" s="213"/>
      <c r="BD66" s="213"/>
      <c r="BE66" s="213"/>
      <c r="BF66" s="213"/>
      <c r="BG66" s="213"/>
      <c r="BH66" s="213"/>
      <c r="BI66" s="213"/>
      <c r="BJ66" s="213"/>
    </row>
    <row r="67" spans="1:62" ht="15.6">
      <c r="A67" s="170">
        <f t="shared" si="14"/>
        <v>42</v>
      </c>
      <c r="B67" s="327">
        <f t="shared" si="15"/>
        <v>316</v>
      </c>
      <c r="C67" s="907">
        <v>0</v>
      </c>
      <c r="D67" s="603">
        <f t="shared" si="16"/>
        <v>0</v>
      </c>
      <c r="E67" s="603">
        <f>D67+E57</f>
        <v>0</v>
      </c>
      <c r="F67" s="603">
        <f>E67+F57</f>
        <v>0</v>
      </c>
      <c r="G67" s="603">
        <f t="shared" si="16"/>
        <v>0</v>
      </c>
      <c r="H67" s="603">
        <f t="shared" si="16"/>
        <v>0</v>
      </c>
      <c r="I67" s="603">
        <f t="shared" si="16"/>
        <v>0</v>
      </c>
      <c r="J67" s="603">
        <f t="shared" si="16"/>
        <v>0</v>
      </c>
      <c r="K67" s="603">
        <f t="shared" si="16"/>
        <v>0</v>
      </c>
      <c r="L67" s="603">
        <f t="shared" si="16"/>
        <v>0</v>
      </c>
      <c r="M67" s="603">
        <f t="shared" si="16"/>
        <v>0</v>
      </c>
      <c r="N67" s="603">
        <f t="shared" si="16"/>
        <v>0</v>
      </c>
      <c r="O67" s="603">
        <f t="shared" si="16"/>
        <v>0</v>
      </c>
      <c r="P67" s="333">
        <f t="shared" si="17"/>
        <v>0</v>
      </c>
      <c r="S67" s="277"/>
      <c r="T67" s="277"/>
      <c r="U67" s="303"/>
      <c r="V67" s="308"/>
      <c r="W67" s="308"/>
      <c r="X67" s="308"/>
      <c r="Y67" s="308"/>
      <c r="Z67" s="308"/>
      <c r="AA67" s="308"/>
      <c r="AB67" s="308"/>
      <c r="AC67" s="308"/>
      <c r="AD67" s="308"/>
      <c r="AE67" s="308"/>
      <c r="AF67" s="308"/>
      <c r="AG67" s="308"/>
      <c r="AH67" s="308"/>
      <c r="AI67" s="277"/>
      <c r="AJ67" s="216"/>
      <c r="AK67" s="304"/>
      <c r="AL67" s="303"/>
      <c r="AM67" s="216"/>
      <c r="AN67" s="304"/>
      <c r="AO67" s="277"/>
      <c r="AP67" s="303"/>
      <c r="AQ67" s="303"/>
      <c r="AR67" s="304"/>
      <c r="AS67" s="303"/>
      <c r="AT67" s="303"/>
      <c r="AU67" s="303"/>
      <c r="AV67" s="304"/>
      <c r="AW67" s="213"/>
      <c r="AX67" s="213"/>
      <c r="AY67" s="213"/>
      <c r="AZ67" s="213"/>
      <c r="BA67" s="213"/>
      <c r="BB67" s="213"/>
      <c r="BC67" s="213"/>
      <c r="BD67" s="213"/>
      <c r="BE67" s="213"/>
      <c r="BF67" s="213"/>
      <c r="BG67" s="213"/>
      <c r="BH67" s="213"/>
      <c r="BI67" s="213"/>
      <c r="BJ67" s="213"/>
    </row>
    <row r="68" spans="1:62" ht="15.6">
      <c r="A68" s="324"/>
      <c r="B68" s="363"/>
      <c r="C68" s="363"/>
      <c r="D68" s="363"/>
      <c r="E68" s="363"/>
      <c r="F68" s="363"/>
      <c r="G68" s="363"/>
      <c r="H68" s="363"/>
      <c r="I68" s="363"/>
      <c r="J68" s="363"/>
      <c r="K68" s="363"/>
      <c r="L68" s="364"/>
      <c r="M68" s="364"/>
      <c r="N68" s="364"/>
      <c r="O68" s="364"/>
      <c r="P68" s="365"/>
      <c r="S68" s="277"/>
      <c r="T68" s="277"/>
      <c r="U68" s="277"/>
      <c r="V68" s="277"/>
      <c r="W68" s="277"/>
      <c r="X68" s="277"/>
      <c r="Y68" s="277"/>
      <c r="Z68" s="277"/>
      <c r="AA68" s="277"/>
      <c r="AB68" s="277"/>
      <c r="AC68" s="277"/>
      <c r="AD68" s="277"/>
      <c r="AE68" s="277"/>
      <c r="AF68" s="277"/>
      <c r="AG68" s="277"/>
      <c r="AH68" s="277"/>
      <c r="AI68" s="277"/>
      <c r="AJ68" s="216"/>
      <c r="AK68" s="304"/>
      <c r="AL68" s="303"/>
      <c r="AM68" s="216"/>
      <c r="AN68" s="304"/>
      <c r="AO68" s="277"/>
      <c r="AP68" s="303"/>
      <c r="AQ68" s="303"/>
      <c r="AR68" s="304"/>
      <c r="AS68" s="303"/>
      <c r="AT68" s="303"/>
      <c r="AU68" s="303"/>
      <c r="AV68" s="303"/>
      <c r="AW68" s="213"/>
      <c r="AX68" s="213"/>
      <c r="AY68" s="213"/>
      <c r="AZ68" s="213"/>
      <c r="BA68" s="213"/>
      <c r="BB68" s="213"/>
      <c r="BC68" s="213"/>
      <c r="BD68" s="213"/>
      <c r="BE68" s="213"/>
      <c r="BF68" s="213"/>
      <c r="BG68" s="213"/>
      <c r="BH68" s="213"/>
      <c r="BI68" s="213"/>
      <c r="BJ68" s="213"/>
    </row>
    <row r="69" spans="1:62" ht="15.6">
      <c r="A69" s="336" t="s">
        <v>713</v>
      </c>
      <c r="B69" s="342"/>
      <c r="C69" s="341" t="s">
        <v>476</v>
      </c>
      <c r="D69" s="287"/>
      <c r="E69" s="287"/>
      <c r="F69" s="287"/>
      <c r="G69" s="287"/>
      <c r="H69" s="287"/>
      <c r="I69" s="287"/>
      <c r="J69" s="287"/>
      <c r="K69" s="334"/>
      <c r="L69" s="287"/>
      <c r="M69" s="287"/>
      <c r="N69" s="287"/>
      <c r="O69" s="287"/>
      <c r="P69" s="339"/>
      <c r="S69" s="277"/>
      <c r="T69" s="277"/>
      <c r="U69" s="302"/>
      <c r="V69" s="277"/>
      <c r="W69" s="277"/>
      <c r="X69" s="277"/>
      <c r="Y69" s="277"/>
      <c r="Z69" s="277"/>
      <c r="AA69" s="277"/>
      <c r="AB69" s="277"/>
      <c r="AC69" s="277"/>
      <c r="AD69" s="277"/>
      <c r="AE69" s="277"/>
      <c r="AF69" s="277"/>
      <c r="AG69" s="277"/>
      <c r="AH69" s="277"/>
      <c r="AI69" s="277"/>
      <c r="AJ69" s="216"/>
      <c r="AK69" s="304"/>
      <c r="AL69" s="303"/>
      <c r="AM69" s="216"/>
      <c r="AN69" s="304"/>
      <c r="AO69" s="277"/>
      <c r="AP69" s="303"/>
      <c r="AQ69" s="303"/>
      <c r="AR69" s="304"/>
      <c r="AS69" s="303"/>
      <c r="AT69" s="303"/>
      <c r="AU69" s="303"/>
      <c r="AV69" s="303"/>
      <c r="AW69" s="213"/>
      <c r="AX69" s="213"/>
      <c r="AY69" s="213"/>
      <c r="AZ69" s="213"/>
      <c r="BA69" s="213"/>
      <c r="BB69" s="213"/>
      <c r="BC69" s="213"/>
      <c r="BD69" s="213"/>
      <c r="BE69" s="213"/>
      <c r="BF69" s="213"/>
      <c r="BG69" s="213"/>
      <c r="BH69" s="213"/>
      <c r="BI69" s="213"/>
      <c r="BJ69" s="213"/>
    </row>
    <row r="70" spans="1:62" ht="15.6">
      <c r="A70" s="355"/>
      <c r="B70" s="356"/>
      <c r="C70" s="287"/>
      <c r="D70" s="287"/>
      <c r="E70" s="287"/>
      <c r="F70" s="287"/>
      <c r="G70" s="287"/>
      <c r="H70" s="287"/>
      <c r="I70" s="287"/>
      <c r="J70" s="287"/>
      <c r="K70" s="334"/>
      <c r="L70" s="287"/>
      <c r="M70" s="287"/>
      <c r="N70" s="287"/>
      <c r="O70" s="287"/>
      <c r="P70" s="339"/>
      <c r="S70" s="277"/>
      <c r="T70" s="277"/>
      <c r="U70" s="277"/>
      <c r="V70" s="277"/>
      <c r="W70" s="277"/>
      <c r="X70" s="277"/>
      <c r="Y70" s="277"/>
      <c r="Z70" s="277"/>
      <c r="AA70" s="277"/>
      <c r="AB70" s="277"/>
      <c r="AC70" s="277"/>
      <c r="AD70" s="277"/>
      <c r="AE70" s="277"/>
      <c r="AF70" s="277"/>
      <c r="AG70" s="277"/>
      <c r="AH70" s="277"/>
      <c r="AI70" s="277"/>
      <c r="AJ70" s="216"/>
      <c r="AK70" s="304"/>
      <c r="AL70" s="303"/>
      <c r="AM70" s="216"/>
      <c r="AN70" s="304"/>
      <c r="AO70" s="277"/>
      <c r="AP70" s="303"/>
      <c r="AQ70" s="303"/>
      <c r="AR70" s="304"/>
      <c r="AS70" s="303"/>
      <c r="AT70" s="303"/>
      <c r="AU70" s="303"/>
      <c r="AV70" s="304"/>
      <c r="AW70" s="213"/>
      <c r="AX70" s="213"/>
      <c r="AY70" s="213"/>
      <c r="AZ70" s="213"/>
      <c r="BA70" s="213"/>
      <c r="BB70" s="213"/>
      <c r="BC70" s="213"/>
      <c r="BD70" s="213"/>
      <c r="BE70" s="213"/>
      <c r="BF70" s="213"/>
      <c r="BG70" s="213"/>
      <c r="BH70" s="213"/>
      <c r="BI70" s="213"/>
      <c r="BJ70" s="213"/>
    </row>
    <row r="71" spans="1:62" ht="18.600000000000001">
      <c r="A71" s="355" t="s">
        <v>494</v>
      </c>
      <c r="B71" s="355" t="s">
        <v>1078</v>
      </c>
      <c r="C71" s="334"/>
      <c r="D71" s="1778" t="s">
        <v>714</v>
      </c>
      <c r="E71" s="1779"/>
      <c r="F71" s="1779"/>
      <c r="G71" s="1779"/>
      <c r="H71" s="1779"/>
      <c r="I71" s="1779"/>
      <c r="J71" s="1779"/>
      <c r="K71" s="1779"/>
      <c r="L71" s="1779"/>
      <c r="M71" s="1779"/>
      <c r="N71" s="1779"/>
      <c r="O71" s="1779"/>
      <c r="P71" s="357"/>
      <c r="S71" s="277"/>
      <c r="T71" s="277"/>
      <c r="U71" s="303"/>
      <c r="V71" s="303"/>
      <c r="W71" s="303"/>
      <c r="X71" s="303"/>
      <c r="Y71" s="303"/>
      <c r="Z71" s="303"/>
      <c r="AA71" s="303"/>
      <c r="AB71" s="303"/>
      <c r="AC71" s="303"/>
      <c r="AD71" s="303"/>
      <c r="AE71" s="303"/>
      <c r="AF71" s="277"/>
      <c r="AG71" s="277"/>
      <c r="AH71" s="277"/>
      <c r="AI71" s="277"/>
      <c r="AJ71" s="216"/>
      <c r="AK71" s="304"/>
      <c r="AL71" s="303"/>
      <c r="AM71" s="216"/>
      <c r="AN71" s="304"/>
      <c r="AO71" s="277"/>
      <c r="AP71" s="303"/>
      <c r="AQ71" s="303"/>
      <c r="AR71" s="304"/>
      <c r="AS71" s="303"/>
      <c r="AT71" s="303"/>
      <c r="AU71" s="303"/>
      <c r="AV71" s="304"/>
      <c r="AW71" s="213"/>
      <c r="AX71" s="213"/>
      <c r="AY71" s="213"/>
      <c r="AZ71" s="213"/>
      <c r="BA71" s="213"/>
      <c r="BB71" s="213"/>
      <c r="BC71" s="213"/>
      <c r="BD71" s="213"/>
      <c r="BE71" s="213"/>
      <c r="BF71" s="213"/>
      <c r="BG71" s="213"/>
      <c r="BH71" s="213"/>
      <c r="BI71" s="213"/>
      <c r="BJ71" s="213"/>
    </row>
    <row r="72" spans="1:62" ht="15.6">
      <c r="A72" s="322" t="s">
        <v>928</v>
      </c>
      <c r="B72" s="322" t="s">
        <v>928</v>
      </c>
      <c r="C72" s="335"/>
      <c r="D72" s="358" t="s">
        <v>715</v>
      </c>
      <c r="E72" s="358" t="s">
        <v>716</v>
      </c>
      <c r="F72" s="358" t="s">
        <v>717</v>
      </c>
      <c r="G72" s="358" t="s">
        <v>718</v>
      </c>
      <c r="H72" s="358" t="s">
        <v>719</v>
      </c>
      <c r="I72" s="358" t="s">
        <v>720</v>
      </c>
      <c r="J72" s="358" t="s">
        <v>721</v>
      </c>
      <c r="K72" s="358" t="s">
        <v>722</v>
      </c>
      <c r="L72" s="358" t="s">
        <v>723</v>
      </c>
      <c r="M72" s="358" t="s">
        <v>724</v>
      </c>
      <c r="N72" s="358" t="s">
        <v>725</v>
      </c>
      <c r="O72" s="358" t="s">
        <v>726</v>
      </c>
      <c r="P72" s="359"/>
      <c r="S72" s="277"/>
      <c r="T72" s="277"/>
      <c r="U72" s="303"/>
      <c r="V72" s="303"/>
      <c r="W72" s="307"/>
      <c r="X72" s="307"/>
      <c r="Y72" s="307"/>
      <c r="Z72" s="307"/>
      <c r="AA72" s="307"/>
      <c r="AB72" s="307"/>
      <c r="AC72" s="307"/>
      <c r="AD72" s="307"/>
      <c r="AE72" s="277"/>
      <c r="AF72" s="277"/>
      <c r="AG72" s="277"/>
      <c r="AH72" s="277"/>
      <c r="AI72" s="277"/>
      <c r="AJ72" s="216"/>
      <c r="AK72" s="304"/>
      <c r="AL72" s="303"/>
      <c r="AM72" s="216"/>
      <c r="AN72" s="304"/>
      <c r="AO72" s="277"/>
      <c r="AP72" s="303"/>
      <c r="AQ72" s="303"/>
      <c r="AR72" s="304"/>
      <c r="AS72" s="303"/>
      <c r="AT72" s="303"/>
      <c r="AU72" s="303"/>
      <c r="AV72" s="304"/>
      <c r="AW72" s="213"/>
      <c r="AX72" s="213"/>
      <c r="AY72" s="213"/>
      <c r="AZ72" s="213"/>
      <c r="BA72" s="213"/>
      <c r="BB72" s="213"/>
      <c r="BC72" s="213"/>
      <c r="BD72" s="213"/>
      <c r="BE72" s="213"/>
      <c r="BF72" s="213"/>
      <c r="BG72" s="213"/>
      <c r="BH72" s="213"/>
      <c r="BI72" s="213"/>
      <c r="BJ72" s="213"/>
    </row>
    <row r="73" spans="1:62" ht="15.6">
      <c r="A73" s="170">
        <f>A67+1</f>
        <v>43</v>
      </c>
      <c r="B73" s="327">
        <v>311</v>
      </c>
      <c r="C73" s="287"/>
      <c r="D73" s="905">
        <v>0</v>
      </c>
      <c r="E73" s="905">
        <v>0</v>
      </c>
      <c r="F73" s="905">
        <v>0</v>
      </c>
      <c r="G73" s="905">
        <v>0</v>
      </c>
      <c r="H73" s="905">
        <v>0</v>
      </c>
      <c r="I73" s="905">
        <v>0</v>
      </c>
      <c r="J73" s="905">
        <v>0</v>
      </c>
      <c r="K73" s="905">
        <v>0</v>
      </c>
      <c r="L73" s="905">
        <v>0</v>
      </c>
      <c r="M73" s="905">
        <v>0</v>
      </c>
      <c r="N73" s="905">
        <v>0</v>
      </c>
      <c r="O73" s="905">
        <v>0</v>
      </c>
      <c r="P73" s="339"/>
      <c r="S73" s="277"/>
      <c r="T73" s="277"/>
      <c r="U73" s="303"/>
      <c r="V73" s="303"/>
      <c r="W73" s="304"/>
      <c r="X73" s="304"/>
      <c r="Y73" s="304"/>
      <c r="Z73" s="304"/>
      <c r="AA73" s="304"/>
      <c r="AB73" s="304"/>
      <c r="AC73" s="304"/>
      <c r="AD73" s="304"/>
      <c r="AE73" s="277"/>
      <c r="AF73" s="277"/>
      <c r="AG73" s="277"/>
      <c r="AH73" s="277"/>
      <c r="AI73" s="277"/>
      <c r="AJ73" s="216"/>
      <c r="AK73" s="304"/>
      <c r="AL73" s="303"/>
      <c r="AM73" s="216"/>
      <c r="AN73" s="304"/>
      <c r="AO73" s="277"/>
      <c r="AP73" s="303"/>
      <c r="AQ73" s="303"/>
      <c r="AR73" s="304"/>
      <c r="AS73" s="303"/>
      <c r="AT73" s="303"/>
      <c r="AU73" s="303"/>
      <c r="AV73" s="304"/>
      <c r="AW73" s="213"/>
      <c r="AX73" s="213"/>
      <c r="AY73" s="213"/>
      <c r="AZ73" s="213"/>
      <c r="BA73" s="213"/>
      <c r="BB73" s="213"/>
      <c r="BC73" s="213"/>
      <c r="BD73" s="213"/>
      <c r="BE73" s="213"/>
      <c r="BF73" s="213"/>
      <c r="BG73" s="213"/>
      <c r="BH73" s="213"/>
      <c r="BI73" s="213"/>
      <c r="BJ73" s="213"/>
    </row>
    <row r="74" spans="1:62" ht="15.6">
      <c r="A74" s="170">
        <f t="shared" ref="A74:A79" si="18">A73+1</f>
        <v>44</v>
      </c>
      <c r="B74" s="327">
        <v>312</v>
      </c>
      <c r="C74" s="287"/>
      <c r="D74" s="907">
        <v>0</v>
      </c>
      <c r="E74" s="907">
        <v>0</v>
      </c>
      <c r="F74" s="907">
        <v>0</v>
      </c>
      <c r="G74" s="907">
        <v>0</v>
      </c>
      <c r="H74" s="907">
        <v>0</v>
      </c>
      <c r="I74" s="907">
        <v>0</v>
      </c>
      <c r="J74" s="907">
        <v>0</v>
      </c>
      <c r="K74" s="907">
        <v>0</v>
      </c>
      <c r="L74" s="907">
        <v>0</v>
      </c>
      <c r="M74" s="907">
        <v>0</v>
      </c>
      <c r="N74" s="907">
        <v>0</v>
      </c>
      <c r="O74" s="907">
        <v>0</v>
      </c>
      <c r="P74" s="339"/>
      <c r="S74" s="277"/>
      <c r="T74" s="277"/>
      <c r="U74" s="303"/>
      <c r="V74" s="303"/>
      <c r="W74" s="304"/>
      <c r="X74" s="304"/>
      <c r="Y74" s="304"/>
      <c r="Z74" s="304"/>
      <c r="AA74" s="304"/>
      <c r="AB74" s="304"/>
      <c r="AC74" s="304"/>
      <c r="AD74" s="304"/>
      <c r="AE74" s="277"/>
      <c r="AF74" s="277"/>
      <c r="AG74" s="277"/>
      <c r="AH74" s="277"/>
      <c r="AI74" s="277"/>
      <c r="AJ74" s="216"/>
      <c r="AK74" s="304"/>
      <c r="AL74" s="303"/>
      <c r="AM74" s="216"/>
      <c r="AN74" s="304"/>
      <c r="AO74" s="277"/>
      <c r="AP74" s="303"/>
      <c r="AQ74" s="303"/>
      <c r="AR74" s="304"/>
      <c r="AS74" s="303"/>
      <c r="AT74" s="303"/>
      <c r="AU74" s="303"/>
      <c r="AV74" s="304"/>
      <c r="AW74" s="213"/>
      <c r="AX74" s="213"/>
      <c r="AY74" s="213"/>
      <c r="AZ74" s="213"/>
      <c r="BA74" s="213"/>
      <c r="BB74" s="213"/>
      <c r="BC74" s="213"/>
      <c r="BD74" s="213"/>
      <c r="BE74" s="213"/>
      <c r="BF74" s="213"/>
      <c r="BG74" s="213"/>
      <c r="BH74" s="213"/>
      <c r="BI74" s="213"/>
      <c r="BJ74" s="213"/>
    </row>
    <row r="75" spans="1:62" ht="15.6">
      <c r="A75" s="170">
        <f t="shared" si="18"/>
        <v>45</v>
      </c>
      <c r="B75" s="327">
        <v>312.10000000000002</v>
      </c>
      <c r="C75" s="287"/>
      <c r="D75" s="907">
        <v>0</v>
      </c>
      <c r="E75" s="907">
        <v>0</v>
      </c>
      <c r="F75" s="907">
        <v>0</v>
      </c>
      <c r="G75" s="907">
        <v>0</v>
      </c>
      <c r="H75" s="907">
        <v>0</v>
      </c>
      <c r="I75" s="907">
        <v>0</v>
      </c>
      <c r="J75" s="907">
        <v>0</v>
      </c>
      <c r="K75" s="907">
        <v>0</v>
      </c>
      <c r="L75" s="907">
        <v>0</v>
      </c>
      <c r="M75" s="907">
        <v>0</v>
      </c>
      <c r="N75" s="907">
        <v>0</v>
      </c>
      <c r="O75" s="907">
        <v>0</v>
      </c>
      <c r="P75" s="339"/>
      <c r="S75" s="277"/>
      <c r="T75" s="277"/>
      <c r="U75" s="303"/>
      <c r="V75" s="303"/>
      <c r="W75" s="304"/>
      <c r="X75" s="304"/>
      <c r="Y75" s="304"/>
      <c r="Z75" s="304"/>
      <c r="AA75" s="304"/>
      <c r="AB75" s="304"/>
      <c r="AC75" s="304"/>
      <c r="AD75" s="304"/>
      <c r="AE75" s="277"/>
      <c r="AF75" s="277"/>
      <c r="AG75" s="277"/>
      <c r="AH75" s="277"/>
      <c r="AI75" s="277"/>
      <c r="AJ75" s="216"/>
      <c r="AK75" s="304"/>
      <c r="AL75" s="303"/>
      <c r="AM75" s="216"/>
      <c r="AN75" s="304"/>
      <c r="AO75" s="277"/>
      <c r="AP75" s="303"/>
      <c r="AQ75" s="303"/>
      <c r="AR75" s="304"/>
      <c r="AS75" s="303"/>
      <c r="AT75" s="303"/>
      <c r="AU75" s="303"/>
      <c r="AV75" s="304"/>
      <c r="AW75" s="213"/>
      <c r="AX75" s="213"/>
      <c r="AY75" s="213"/>
      <c r="AZ75" s="213"/>
      <c r="BA75" s="213"/>
      <c r="BB75" s="213"/>
      <c r="BC75" s="213"/>
      <c r="BD75" s="213"/>
      <c r="BE75" s="213"/>
      <c r="BF75" s="213"/>
      <c r="BG75" s="213"/>
      <c r="BH75" s="213"/>
      <c r="BI75" s="213"/>
      <c r="BJ75" s="213"/>
    </row>
    <row r="76" spans="1:62" ht="15.6">
      <c r="A76" s="170">
        <f t="shared" si="18"/>
        <v>46</v>
      </c>
      <c r="B76" s="327">
        <v>312.2</v>
      </c>
      <c r="C76" s="287"/>
      <c r="D76" s="907">
        <v>0</v>
      </c>
      <c r="E76" s="907">
        <v>0</v>
      </c>
      <c r="F76" s="907">
        <v>0</v>
      </c>
      <c r="G76" s="907">
        <v>0</v>
      </c>
      <c r="H76" s="907">
        <v>0</v>
      </c>
      <c r="I76" s="907">
        <v>0</v>
      </c>
      <c r="J76" s="907">
        <v>0</v>
      </c>
      <c r="K76" s="907">
        <v>0</v>
      </c>
      <c r="L76" s="907">
        <v>0</v>
      </c>
      <c r="M76" s="907">
        <v>0</v>
      </c>
      <c r="N76" s="907">
        <v>0</v>
      </c>
      <c r="O76" s="907">
        <v>0</v>
      </c>
      <c r="P76" s="339"/>
      <c r="S76" s="277"/>
      <c r="T76" s="277"/>
      <c r="U76" s="303"/>
      <c r="V76" s="303"/>
      <c r="W76" s="304"/>
      <c r="X76" s="304"/>
      <c r="Y76" s="304"/>
      <c r="Z76" s="304"/>
      <c r="AA76" s="304"/>
      <c r="AB76" s="304"/>
      <c r="AC76" s="304"/>
      <c r="AD76" s="304"/>
      <c r="AE76" s="277"/>
      <c r="AF76" s="277"/>
      <c r="AG76" s="277"/>
      <c r="AH76" s="277"/>
      <c r="AI76" s="277"/>
      <c r="AJ76" s="216"/>
      <c r="AK76" s="304"/>
      <c r="AL76" s="303"/>
      <c r="AM76" s="216"/>
      <c r="AN76" s="304"/>
      <c r="AO76" s="277"/>
      <c r="AP76" s="303"/>
      <c r="AQ76" s="303"/>
      <c r="AR76" s="304"/>
      <c r="AS76" s="303"/>
      <c r="AT76" s="303"/>
      <c r="AU76" s="303"/>
      <c r="AV76" s="304"/>
      <c r="AW76" s="213"/>
      <c r="AX76" s="213"/>
      <c r="AY76" s="213"/>
      <c r="AZ76" s="213"/>
      <c r="BA76" s="213"/>
      <c r="BB76" s="213"/>
      <c r="BC76" s="213"/>
      <c r="BD76" s="213"/>
      <c r="BE76" s="213"/>
      <c r="BF76" s="213"/>
      <c r="BG76" s="213"/>
      <c r="BH76" s="213"/>
      <c r="BI76" s="213"/>
      <c r="BJ76" s="213"/>
    </row>
    <row r="77" spans="1:62" ht="15.6">
      <c r="A77" s="170">
        <f t="shared" si="18"/>
        <v>47</v>
      </c>
      <c r="B77" s="327">
        <v>314</v>
      </c>
      <c r="C77" s="287"/>
      <c r="D77" s="907">
        <v>0</v>
      </c>
      <c r="E77" s="907">
        <v>0</v>
      </c>
      <c r="F77" s="907">
        <v>0</v>
      </c>
      <c r="G77" s="907">
        <v>0</v>
      </c>
      <c r="H77" s="907">
        <v>0</v>
      </c>
      <c r="I77" s="907">
        <v>0</v>
      </c>
      <c r="J77" s="907">
        <v>0</v>
      </c>
      <c r="K77" s="907">
        <v>0</v>
      </c>
      <c r="L77" s="907">
        <v>0</v>
      </c>
      <c r="M77" s="907">
        <v>0</v>
      </c>
      <c r="N77" s="907">
        <v>0</v>
      </c>
      <c r="O77" s="907">
        <v>0</v>
      </c>
      <c r="P77" s="339"/>
      <c r="S77" s="277"/>
      <c r="T77" s="277"/>
      <c r="U77" s="303"/>
      <c r="V77" s="303"/>
      <c r="W77" s="304"/>
      <c r="X77" s="304"/>
      <c r="Y77" s="304"/>
      <c r="Z77" s="304"/>
      <c r="AA77" s="304"/>
      <c r="AB77" s="304"/>
      <c r="AC77" s="304"/>
      <c r="AD77" s="304"/>
      <c r="AE77" s="277"/>
      <c r="AF77" s="277"/>
      <c r="AG77" s="277"/>
      <c r="AH77" s="277"/>
      <c r="AI77" s="277"/>
      <c r="AJ77" s="216"/>
      <c r="AK77" s="304"/>
      <c r="AL77" s="303"/>
      <c r="AM77" s="216"/>
      <c r="AN77" s="304"/>
      <c r="AO77" s="277"/>
      <c r="AP77" s="303"/>
      <c r="AQ77" s="303"/>
      <c r="AR77" s="304"/>
      <c r="AS77" s="303"/>
      <c r="AT77" s="303"/>
      <c r="AU77" s="303"/>
      <c r="AV77" s="304"/>
      <c r="AW77" s="213"/>
      <c r="AX77" s="213"/>
      <c r="AY77" s="213"/>
      <c r="AZ77" s="213"/>
      <c r="BA77" s="213"/>
      <c r="BB77" s="213"/>
      <c r="BC77" s="213"/>
      <c r="BD77" s="213"/>
      <c r="BE77" s="213"/>
      <c r="BF77" s="213"/>
      <c r="BG77" s="213"/>
      <c r="BH77" s="213"/>
      <c r="BI77" s="213"/>
      <c r="BJ77" s="213"/>
    </row>
    <row r="78" spans="1:62" ht="15.6">
      <c r="A78" s="170">
        <f t="shared" si="18"/>
        <v>48</v>
      </c>
      <c r="B78" s="327">
        <v>315</v>
      </c>
      <c r="C78" s="287"/>
      <c r="D78" s="907">
        <v>0</v>
      </c>
      <c r="E78" s="907">
        <v>0</v>
      </c>
      <c r="F78" s="907">
        <v>0</v>
      </c>
      <c r="G78" s="907">
        <v>0</v>
      </c>
      <c r="H78" s="907">
        <v>0</v>
      </c>
      <c r="I78" s="907">
        <v>0</v>
      </c>
      <c r="J78" s="907">
        <v>0</v>
      </c>
      <c r="K78" s="907">
        <v>0</v>
      </c>
      <c r="L78" s="907">
        <v>0</v>
      </c>
      <c r="M78" s="907">
        <v>0</v>
      </c>
      <c r="N78" s="907">
        <v>0</v>
      </c>
      <c r="O78" s="907">
        <v>0</v>
      </c>
      <c r="P78" s="339"/>
      <c r="S78" s="277"/>
      <c r="T78" s="277"/>
      <c r="U78" s="303"/>
      <c r="V78" s="303"/>
      <c r="W78" s="304"/>
      <c r="X78" s="304"/>
      <c r="Y78" s="304"/>
      <c r="Z78" s="304"/>
      <c r="AA78" s="304"/>
      <c r="AB78" s="304"/>
      <c r="AC78" s="304"/>
      <c r="AD78" s="304"/>
      <c r="AE78" s="277"/>
      <c r="AF78" s="277"/>
      <c r="AG78" s="277"/>
      <c r="AH78" s="277"/>
      <c r="AI78" s="277"/>
      <c r="AJ78" s="216"/>
      <c r="AK78" s="304"/>
      <c r="AL78" s="303"/>
      <c r="AM78" s="216"/>
      <c r="AN78" s="304"/>
      <c r="AO78" s="277"/>
      <c r="AP78" s="303"/>
      <c r="AQ78" s="303"/>
      <c r="AR78" s="304"/>
      <c r="AS78" s="303"/>
      <c r="AT78" s="303"/>
      <c r="AU78" s="303"/>
      <c r="AV78" s="304"/>
      <c r="AW78" s="213"/>
      <c r="AX78" s="213"/>
      <c r="AY78" s="213"/>
      <c r="AZ78" s="213"/>
      <c r="BA78" s="213"/>
      <c r="BB78" s="213"/>
      <c r="BC78" s="213"/>
      <c r="BD78" s="213"/>
      <c r="BE78" s="213"/>
      <c r="BF78" s="213"/>
      <c r="BG78" s="213"/>
      <c r="BH78" s="213"/>
      <c r="BI78" s="213"/>
      <c r="BJ78" s="213"/>
    </row>
    <row r="79" spans="1:62" ht="15.6">
      <c r="A79" s="170">
        <f t="shared" si="18"/>
        <v>49</v>
      </c>
      <c r="B79" s="327">
        <v>316</v>
      </c>
      <c r="C79" s="287"/>
      <c r="D79" s="907">
        <v>0</v>
      </c>
      <c r="E79" s="907">
        <v>0</v>
      </c>
      <c r="F79" s="907">
        <v>0</v>
      </c>
      <c r="G79" s="907">
        <v>0</v>
      </c>
      <c r="H79" s="907">
        <v>0</v>
      </c>
      <c r="I79" s="907">
        <v>0</v>
      </c>
      <c r="J79" s="907">
        <v>0</v>
      </c>
      <c r="K79" s="907">
        <v>0</v>
      </c>
      <c r="L79" s="907">
        <v>0</v>
      </c>
      <c r="M79" s="907">
        <v>0</v>
      </c>
      <c r="N79" s="907">
        <v>0</v>
      </c>
      <c r="O79" s="907">
        <v>0</v>
      </c>
      <c r="P79" s="339"/>
      <c r="S79" s="277"/>
      <c r="T79" s="277"/>
      <c r="U79" s="310"/>
      <c r="V79" s="303"/>
      <c r="W79" s="304"/>
      <c r="X79" s="304"/>
      <c r="Y79" s="304"/>
      <c r="Z79" s="304"/>
      <c r="AA79" s="304"/>
      <c r="AB79" s="304"/>
      <c r="AC79" s="304"/>
      <c r="AD79" s="304"/>
      <c r="AE79" s="277"/>
      <c r="AF79" s="277"/>
      <c r="AG79" s="277"/>
      <c r="AH79" s="277"/>
      <c r="AI79" s="277"/>
      <c r="AJ79" s="216"/>
      <c r="AK79" s="304"/>
      <c r="AL79" s="303"/>
      <c r="AM79" s="216"/>
      <c r="AN79" s="304"/>
      <c r="AO79" s="277"/>
      <c r="AP79" s="303"/>
      <c r="AQ79" s="303"/>
      <c r="AR79" s="304"/>
      <c r="AS79" s="303"/>
      <c r="AT79" s="303"/>
      <c r="AU79" s="303"/>
      <c r="AV79" s="304"/>
      <c r="AW79" s="213"/>
      <c r="AX79" s="213"/>
      <c r="AY79" s="213"/>
      <c r="AZ79" s="213"/>
      <c r="BA79" s="213"/>
      <c r="BB79" s="213"/>
      <c r="BC79" s="213"/>
      <c r="BD79" s="213"/>
      <c r="BE79" s="213"/>
      <c r="BF79" s="213"/>
      <c r="BG79" s="213"/>
      <c r="BH79" s="213"/>
      <c r="BI79" s="213"/>
      <c r="BJ79" s="213"/>
    </row>
    <row r="80" spans="1:62" ht="15.6">
      <c r="A80" s="355"/>
      <c r="B80" s="336"/>
      <c r="C80" s="287"/>
      <c r="D80" s="287"/>
      <c r="E80" s="287"/>
      <c r="F80" s="287"/>
      <c r="G80" s="287"/>
      <c r="H80" s="287"/>
      <c r="I80" s="287"/>
      <c r="J80" s="287"/>
      <c r="K80" s="334"/>
      <c r="L80" s="287"/>
      <c r="M80" s="287"/>
      <c r="N80" s="287"/>
      <c r="O80" s="287"/>
      <c r="P80" s="339"/>
      <c r="S80" s="277"/>
      <c r="T80" s="277"/>
      <c r="U80" s="303"/>
      <c r="V80" s="311"/>
      <c r="W80" s="304"/>
      <c r="X80" s="304"/>
      <c r="Y80" s="304"/>
      <c r="Z80" s="304"/>
      <c r="AA80" s="304"/>
      <c r="AB80" s="304"/>
      <c r="AC80" s="304"/>
      <c r="AD80" s="304"/>
      <c r="AE80" s="277"/>
      <c r="AF80" s="277"/>
      <c r="AG80" s="277"/>
      <c r="AH80" s="277"/>
      <c r="AI80" s="277"/>
      <c r="AJ80" s="216"/>
      <c r="AK80" s="312"/>
      <c r="AL80" s="303"/>
      <c r="AM80" s="216"/>
      <c r="AN80" s="312"/>
      <c r="AO80" s="277"/>
      <c r="AP80" s="303"/>
      <c r="AQ80" s="303"/>
      <c r="AR80" s="304"/>
      <c r="AS80" s="303"/>
      <c r="AT80" s="303"/>
      <c r="AU80" s="303"/>
      <c r="AV80" s="303"/>
      <c r="AW80" s="213"/>
      <c r="AX80" s="213"/>
      <c r="AY80" s="213"/>
      <c r="AZ80" s="213"/>
      <c r="BA80" s="213"/>
      <c r="BB80" s="213"/>
      <c r="BC80" s="213"/>
      <c r="BD80" s="213"/>
      <c r="BE80" s="213"/>
      <c r="BF80" s="213"/>
      <c r="BG80" s="213"/>
      <c r="BH80" s="213"/>
      <c r="BI80" s="213"/>
      <c r="BJ80" s="213"/>
    </row>
    <row r="81" spans="1:62" ht="18.600000000000001">
      <c r="A81" s="355"/>
      <c r="B81" s="355" t="s">
        <v>1078</v>
      </c>
      <c r="C81" s="334" t="s">
        <v>727</v>
      </c>
      <c r="D81" s="1778" t="s">
        <v>728</v>
      </c>
      <c r="E81" s="1779"/>
      <c r="F81" s="1779"/>
      <c r="G81" s="1779"/>
      <c r="H81" s="1779"/>
      <c r="I81" s="1779"/>
      <c r="J81" s="1779"/>
      <c r="K81" s="1779"/>
      <c r="L81" s="1779"/>
      <c r="M81" s="1779"/>
      <c r="N81" s="1779"/>
      <c r="O81" s="1779"/>
      <c r="P81" s="1779"/>
      <c r="S81" s="277"/>
      <c r="T81" s="277"/>
      <c r="U81" s="303"/>
      <c r="V81" s="303"/>
      <c r="W81" s="304"/>
      <c r="X81" s="304"/>
      <c r="Y81" s="304"/>
      <c r="Z81" s="304"/>
      <c r="AA81" s="304"/>
      <c r="AB81" s="304"/>
      <c r="AC81" s="304"/>
      <c r="AD81" s="304"/>
      <c r="AE81" s="301"/>
      <c r="AF81" s="277"/>
      <c r="AG81" s="277"/>
      <c r="AH81" s="277"/>
      <c r="AI81" s="277"/>
      <c r="AJ81" s="216"/>
      <c r="AK81" s="304"/>
      <c r="AL81" s="303"/>
      <c r="AM81" s="216"/>
      <c r="AN81" s="304"/>
      <c r="AO81" s="277"/>
      <c r="AP81" s="303"/>
      <c r="AQ81" s="303"/>
      <c r="AR81" s="304"/>
      <c r="AS81" s="303"/>
      <c r="AT81" s="303"/>
      <c r="AU81" s="303"/>
      <c r="AV81" s="304"/>
      <c r="AW81" s="213"/>
      <c r="AX81" s="213"/>
      <c r="AY81" s="213"/>
      <c r="AZ81" s="213"/>
      <c r="BA81" s="213"/>
      <c r="BB81" s="213"/>
      <c r="BC81" s="213"/>
      <c r="BD81" s="213"/>
      <c r="BE81" s="213"/>
      <c r="BF81" s="213"/>
      <c r="BG81" s="213"/>
      <c r="BH81" s="213"/>
      <c r="BI81" s="213"/>
      <c r="BJ81" s="213"/>
    </row>
    <row r="82" spans="1:62" ht="18.600000000000001">
      <c r="A82" s="322"/>
      <c r="B82" s="322" t="s">
        <v>928</v>
      </c>
      <c r="C82" s="335" t="s">
        <v>729</v>
      </c>
      <c r="D82" s="358" t="s">
        <v>716</v>
      </c>
      <c r="E82" s="358" t="s">
        <v>717</v>
      </c>
      <c r="F82" s="358" t="s">
        <v>718</v>
      </c>
      <c r="G82" s="358" t="s">
        <v>719</v>
      </c>
      <c r="H82" s="358" t="s">
        <v>720</v>
      </c>
      <c r="I82" s="358" t="s">
        <v>721</v>
      </c>
      <c r="J82" s="358" t="s">
        <v>722</v>
      </c>
      <c r="K82" s="358" t="s">
        <v>723</v>
      </c>
      <c r="L82" s="358" t="s">
        <v>724</v>
      </c>
      <c r="M82" s="358" t="s">
        <v>725</v>
      </c>
      <c r="N82" s="358" t="s">
        <v>726</v>
      </c>
      <c r="O82" s="358" t="s">
        <v>715</v>
      </c>
      <c r="P82" s="360" t="s">
        <v>468</v>
      </c>
      <c r="S82" s="277"/>
      <c r="T82" s="277"/>
      <c r="U82" s="303"/>
      <c r="V82" s="303"/>
      <c r="W82" s="304"/>
      <c r="X82" s="304"/>
      <c r="Y82" s="304"/>
      <c r="Z82" s="304"/>
      <c r="AA82" s="304"/>
      <c r="AB82" s="304"/>
      <c r="AC82" s="304"/>
      <c r="AD82" s="304"/>
      <c r="AE82" s="277"/>
      <c r="AF82" s="277"/>
      <c r="AG82" s="277"/>
      <c r="AH82" s="277"/>
      <c r="AI82" s="277"/>
      <c r="AJ82" s="216"/>
      <c r="AK82" s="304"/>
      <c r="AL82" s="303"/>
      <c r="AM82" s="216"/>
      <c r="AN82" s="304"/>
      <c r="AO82" s="277"/>
      <c r="AP82" s="303"/>
      <c r="AQ82" s="303"/>
      <c r="AR82" s="304"/>
      <c r="AS82" s="303"/>
      <c r="AT82" s="303"/>
      <c r="AU82" s="303"/>
      <c r="AV82" s="303"/>
      <c r="AW82" s="213"/>
      <c r="AX82" s="213"/>
      <c r="AY82" s="213"/>
      <c r="AZ82" s="213"/>
      <c r="BA82" s="213"/>
      <c r="BB82" s="213"/>
      <c r="BC82" s="213"/>
      <c r="BD82" s="213"/>
      <c r="BE82" s="213"/>
      <c r="BF82" s="213"/>
      <c r="BG82" s="213"/>
      <c r="BH82" s="213"/>
      <c r="BI82" s="213"/>
      <c r="BJ82" s="213"/>
    </row>
    <row r="83" spans="1:62" ht="15.6">
      <c r="A83" s="170">
        <f>A79+1</f>
        <v>50</v>
      </c>
      <c r="B83" s="327">
        <f>B73</f>
        <v>311</v>
      </c>
      <c r="C83" s="906"/>
      <c r="D83" s="603">
        <f>D73*$C83/100/12</f>
        <v>0</v>
      </c>
      <c r="E83" s="603">
        <f t="shared" ref="E83:O83" si="19">E73*$C83/100/12</f>
        <v>0</v>
      </c>
      <c r="F83" s="603">
        <f t="shared" si="19"/>
        <v>0</v>
      </c>
      <c r="G83" s="603">
        <f t="shared" si="19"/>
        <v>0</v>
      </c>
      <c r="H83" s="603">
        <f t="shared" si="19"/>
        <v>0</v>
      </c>
      <c r="I83" s="603">
        <f t="shared" si="19"/>
        <v>0</v>
      </c>
      <c r="J83" s="603">
        <f t="shared" si="19"/>
        <v>0</v>
      </c>
      <c r="K83" s="603">
        <f>K73*$C83/100/12</f>
        <v>0</v>
      </c>
      <c r="L83" s="603">
        <f t="shared" si="19"/>
        <v>0</v>
      </c>
      <c r="M83" s="603">
        <f>M73*$C83/100/12</f>
        <v>0</v>
      </c>
      <c r="N83" s="603">
        <f t="shared" si="19"/>
        <v>0</v>
      </c>
      <c r="O83" s="603">
        <f t="shared" si="19"/>
        <v>0</v>
      </c>
      <c r="P83" s="333">
        <f>SUM(D83:O83)</f>
        <v>0</v>
      </c>
      <c r="S83" s="277"/>
      <c r="T83" s="277"/>
      <c r="U83" s="303"/>
      <c r="V83" s="303"/>
      <c r="W83" s="304"/>
      <c r="X83" s="304"/>
      <c r="Y83" s="304"/>
      <c r="Z83" s="304"/>
      <c r="AA83" s="304"/>
      <c r="AB83" s="304"/>
      <c r="AC83" s="304"/>
      <c r="AD83" s="304"/>
      <c r="AE83" s="277"/>
      <c r="AF83" s="277"/>
      <c r="AG83" s="277"/>
      <c r="AH83" s="277"/>
      <c r="AI83" s="277"/>
      <c r="AJ83" s="216"/>
      <c r="AK83" s="304"/>
      <c r="AL83" s="303"/>
      <c r="AM83" s="216"/>
      <c r="AN83" s="304"/>
      <c r="AO83" s="277"/>
      <c r="AP83" s="303"/>
      <c r="AQ83" s="303"/>
      <c r="AR83" s="304"/>
      <c r="AS83" s="303"/>
      <c r="AT83" s="303"/>
      <c r="AU83" s="303"/>
      <c r="AV83" s="303"/>
      <c r="AW83" s="213"/>
      <c r="AX83" s="213"/>
      <c r="AY83" s="213"/>
      <c r="AZ83" s="213"/>
      <c r="BA83" s="213"/>
      <c r="BB83" s="213"/>
      <c r="BC83" s="213"/>
      <c r="BD83" s="213"/>
      <c r="BE83" s="213"/>
      <c r="BF83" s="213"/>
      <c r="BG83" s="213"/>
      <c r="BH83" s="213"/>
      <c r="BI83" s="213"/>
      <c r="BJ83" s="213"/>
    </row>
    <row r="84" spans="1:62" ht="15.6">
      <c r="A84" s="170">
        <f t="shared" ref="A84:A89" si="20">A83+1</f>
        <v>51</v>
      </c>
      <c r="B84" s="327">
        <f t="shared" ref="B84:B89" si="21">B74</f>
        <v>312</v>
      </c>
      <c r="C84" s="906"/>
      <c r="D84" s="603">
        <f t="shared" ref="D84:O89" si="22">D74*$C84/100/12</f>
        <v>0</v>
      </c>
      <c r="E84" s="603">
        <f t="shared" si="22"/>
        <v>0</v>
      </c>
      <c r="F84" s="603">
        <f t="shared" si="22"/>
        <v>0</v>
      </c>
      <c r="G84" s="603">
        <f t="shared" si="22"/>
        <v>0</v>
      </c>
      <c r="H84" s="603">
        <f t="shared" si="22"/>
        <v>0</v>
      </c>
      <c r="I84" s="603">
        <f t="shared" si="22"/>
        <v>0</v>
      </c>
      <c r="J84" s="603">
        <f t="shared" si="22"/>
        <v>0</v>
      </c>
      <c r="K84" s="603">
        <f t="shared" si="22"/>
        <v>0</v>
      </c>
      <c r="L84" s="603">
        <f t="shared" si="22"/>
        <v>0</v>
      </c>
      <c r="M84" s="603">
        <f t="shared" si="22"/>
        <v>0</v>
      </c>
      <c r="N84" s="603">
        <f t="shared" si="22"/>
        <v>0</v>
      </c>
      <c r="O84" s="603">
        <f t="shared" si="22"/>
        <v>0</v>
      </c>
      <c r="P84" s="333">
        <f t="shared" ref="P84:P89" si="23">SUM(D84:O84)</f>
        <v>0</v>
      </c>
      <c r="S84" s="277"/>
      <c r="T84" s="277"/>
      <c r="U84" s="303"/>
      <c r="V84" s="303"/>
      <c r="W84" s="303"/>
      <c r="X84" s="303"/>
      <c r="Y84" s="303"/>
      <c r="Z84" s="303"/>
      <c r="AA84" s="303"/>
      <c r="AB84" s="303"/>
      <c r="AC84" s="303"/>
      <c r="AD84" s="303"/>
      <c r="AE84" s="277"/>
      <c r="AF84" s="277"/>
      <c r="AG84" s="277"/>
      <c r="AH84" s="277"/>
      <c r="AI84" s="277"/>
      <c r="AJ84" s="216"/>
      <c r="AK84" s="304"/>
      <c r="AL84" s="303"/>
      <c r="AM84" s="216"/>
      <c r="AN84" s="304"/>
      <c r="AO84" s="277"/>
      <c r="AP84" s="303"/>
      <c r="AQ84" s="303"/>
      <c r="AR84" s="304"/>
      <c r="AS84" s="303"/>
      <c r="AT84" s="303"/>
      <c r="AU84" s="303"/>
      <c r="AV84" s="303"/>
      <c r="AW84" s="213"/>
      <c r="AX84" s="213"/>
      <c r="AY84" s="213"/>
      <c r="AZ84" s="213"/>
      <c r="BA84" s="213"/>
      <c r="BB84" s="213"/>
      <c r="BC84" s="213"/>
      <c r="BD84" s="213"/>
      <c r="BE84" s="213"/>
      <c r="BF84" s="213"/>
      <c r="BG84" s="213"/>
      <c r="BH84" s="213"/>
      <c r="BI84" s="213"/>
      <c r="BJ84" s="213"/>
    </row>
    <row r="85" spans="1:62" ht="15.6">
      <c r="A85" s="170">
        <f t="shared" si="20"/>
        <v>52</v>
      </c>
      <c r="B85" s="327">
        <f t="shared" si="21"/>
        <v>312.10000000000002</v>
      </c>
      <c r="C85" s="906"/>
      <c r="D85" s="603">
        <f t="shared" si="22"/>
        <v>0</v>
      </c>
      <c r="E85" s="603">
        <f t="shared" si="22"/>
        <v>0</v>
      </c>
      <c r="F85" s="603">
        <f t="shared" si="22"/>
        <v>0</v>
      </c>
      <c r="G85" s="603">
        <f t="shared" si="22"/>
        <v>0</v>
      </c>
      <c r="H85" s="603">
        <f t="shared" si="22"/>
        <v>0</v>
      </c>
      <c r="I85" s="603">
        <f t="shared" si="22"/>
        <v>0</v>
      </c>
      <c r="J85" s="603">
        <f t="shared" si="22"/>
        <v>0</v>
      </c>
      <c r="K85" s="603">
        <f t="shared" si="22"/>
        <v>0</v>
      </c>
      <c r="L85" s="603">
        <f t="shared" si="22"/>
        <v>0</v>
      </c>
      <c r="M85" s="603">
        <f t="shared" si="22"/>
        <v>0</v>
      </c>
      <c r="N85" s="603">
        <f t="shared" si="22"/>
        <v>0</v>
      </c>
      <c r="O85" s="603">
        <f t="shared" si="22"/>
        <v>0</v>
      </c>
      <c r="P85" s="333">
        <f t="shared" si="23"/>
        <v>0</v>
      </c>
      <c r="S85" s="277"/>
      <c r="T85" s="277"/>
      <c r="U85" s="303"/>
      <c r="V85" s="303"/>
      <c r="W85" s="303"/>
      <c r="X85" s="303"/>
      <c r="Y85" s="303"/>
      <c r="Z85" s="303"/>
      <c r="AA85" s="303"/>
      <c r="AB85" s="303"/>
      <c r="AC85" s="303"/>
      <c r="AD85" s="303"/>
      <c r="AE85" s="277"/>
      <c r="AF85" s="277"/>
      <c r="AG85" s="277"/>
      <c r="AH85" s="277"/>
      <c r="AI85" s="277"/>
      <c r="AJ85" s="216"/>
      <c r="AK85" s="304"/>
      <c r="AL85" s="303"/>
      <c r="AM85" s="216"/>
      <c r="AN85" s="304"/>
      <c r="AO85" s="277"/>
      <c r="AP85" s="303"/>
      <c r="AQ85" s="303"/>
      <c r="AR85" s="304"/>
      <c r="AS85" s="303"/>
      <c r="AT85" s="303"/>
      <c r="AU85" s="303"/>
      <c r="AV85" s="303"/>
      <c r="AW85" s="213"/>
      <c r="AX85" s="213"/>
      <c r="AY85" s="213"/>
      <c r="AZ85" s="213"/>
      <c r="BA85" s="213"/>
      <c r="BB85" s="213"/>
      <c r="BC85" s="213"/>
      <c r="BD85" s="213"/>
      <c r="BE85" s="213"/>
      <c r="BF85" s="213"/>
      <c r="BG85" s="213"/>
      <c r="BH85" s="213"/>
      <c r="BI85" s="213"/>
      <c r="BJ85" s="213"/>
    </row>
    <row r="86" spans="1:62" ht="15.6">
      <c r="A86" s="170">
        <f t="shared" si="20"/>
        <v>53</v>
      </c>
      <c r="B86" s="327">
        <f t="shared" si="21"/>
        <v>312.2</v>
      </c>
      <c r="C86" s="906"/>
      <c r="D86" s="603">
        <f t="shared" si="22"/>
        <v>0</v>
      </c>
      <c r="E86" s="603">
        <f t="shared" si="22"/>
        <v>0</v>
      </c>
      <c r="F86" s="603">
        <f t="shared" si="22"/>
        <v>0</v>
      </c>
      <c r="G86" s="603">
        <f t="shared" si="22"/>
        <v>0</v>
      </c>
      <c r="H86" s="603">
        <f t="shared" si="22"/>
        <v>0</v>
      </c>
      <c r="I86" s="603">
        <f t="shared" si="22"/>
        <v>0</v>
      </c>
      <c r="J86" s="603">
        <f t="shared" si="22"/>
        <v>0</v>
      </c>
      <c r="K86" s="603">
        <f t="shared" si="22"/>
        <v>0</v>
      </c>
      <c r="L86" s="603">
        <f t="shared" si="22"/>
        <v>0</v>
      </c>
      <c r="M86" s="603">
        <f t="shared" si="22"/>
        <v>0</v>
      </c>
      <c r="N86" s="603">
        <f t="shared" si="22"/>
        <v>0</v>
      </c>
      <c r="O86" s="603">
        <f t="shared" si="22"/>
        <v>0</v>
      </c>
      <c r="P86" s="333">
        <f t="shared" si="23"/>
        <v>0</v>
      </c>
      <c r="S86" s="277"/>
      <c r="T86" s="277"/>
      <c r="U86" s="303"/>
      <c r="V86" s="303"/>
      <c r="W86" s="303"/>
      <c r="X86" s="303"/>
      <c r="Y86" s="303"/>
      <c r="Z86" s="303"/>
      <c r="AA86" s="303"/>
      <c r="AB86" s="303"/>
      <c r="AC86" s="303"/>
      <c r="AD86" s="303"/>
      <c r="AE86" s="277"/>
      <c r="AF86" s="277"/>
      <c r="AG86" s="277"/>
      <c r="AH86" s="277"/>
      <c r="AI86" s="277"/>
      <c r="AJ86" s="216"/>
      <c r="AK86" s="304"/>
      <c r="AL86" s="303"/>
      <c r="AM86" s="216"/>
      <c r="AN86" s="304"/>
      <c r="AO86" s="277"/>
      <c r="AP86" s="303"/>
      <c r="AQ86" s="303"/>
      <c r="AR86" s="304"/>
      <c r="AS86" s="303"/>
      <c r="AT86" s="303"/>
      <c r="AU86" s="303"/>
      <c r="AV86" s="303"/>
      <c r="AW86" s="213"/>
      <c r="AX86" s="213"/>
      <c r="AY86" s="213"/>
      <c r="AZ86" s="213"/>
      <c r="BA86" s="213"/>
      <c r="BB86" s="213"/>
      <c r="BC86" s="213"/>
      <c r="BD86" s="213"/>
      <c r="BE86" s="213"/>
      <c r="BF86" s="213"/>
      <c r="BG86" s="213"/>
      <c r="BH86" s="213"/>
      <c r="BI86" s="213"/>
      <c r="BJ86" s="213"/>
    </row>
    <row r="87" spans="1:62" ht="15.6">
      <c r="A87" s="170">
        <f t="shared" si="20"/>
        <v>54</v>
      </c>
      <c r="B87" s="327">
        <f t="shared" si="21"/>
        <v>314</v>
      </c>
      <c r="C87" s="906"/>
      <c r="D87" s="603">
        <f t="shared" si="22"/>
        <v>0</v>
      </c>
      <c r="E87" s="603">
        <f t="shared" si="22"/>
        <v>0</v>
      </c>
      <c r="F87" s="603">
        <f t="shared" si="22"/>
        <v>0</v>
      </c>
      <c r="G87" s="603">
        <f t="shared" si="22"/>
        <v>0</v>
      </c>
      <c r="H87" s="603">
        <f t="shared" si="22"/>
        <v>0</v>
      </c>
      <c r="I87" s="603">
        <f t="shared" si="22"/>
        <v>0</v>
      </c>
      <c r="J87" s="603">
        <f t="shared" si="22"/>
        <v>0</v>
      </c>
      <c r="K87" s="603">
        <f t="shared" si="22"/>
        <v>0</v>
      </c>
      <c r="L87" s="603">
        <f t="shared" si="22"/>
        <v>0</v>
      </c>
      <c r="M87" s="603">
        <f t="shared" si="22"/>
        <v>0</v>
      </c>
      <c r="N87" s="603">
        <f t="shared" si="22"/>
        <v>0</v>
      </c>
      <c r="O87" s="603">
        <f t="shared" si="22"/>
        <v>0</v>
      </c>
      <c r="P87" s="333">
        <f t="shared" si="23"/>
        <v>0</v>
      </c>
      <c r="S87" s="277"/>
      <c r="T87" s="277"/>
      <c r="U87" s="303"/>
      <c r="V87" s="303"/>
      <c r="W87" s="304"/>
      <c r="X87" s="304"/>
      <c r="Y87" s="304"/>
      <c r="Z87" s="304"/>
      <c r="AA87" s="304"/>
      <c r="AB87" s="304"/>
      <c r="AC87" s="304"/>
      <c r="AD87" s="304"/>
      <c r="AE87" s="277"/>
      <c r="AF87" s="277"/>
      <c r="AG87" s="277"/>
      <c r="AH87" s="277"/>
      <c r="AI87" s="277"/>
      <c r="AJ87" s="216"/>
      <c r="AK87" s="304"/>
      <c r="AL87" s="303"/>
      <c r="AM87" s="216"/>
      <c r="AN87" s="304"/>
      <c r="AO87" s="277"/>
      <c r="AP87" s="303"/>
      <c r="AQ87" s="303"/>
      <c r="AR87" s="304"/>
      <c r="AS87" s="303"/>
      <c r="AT87" s="303"/>
      <c r="AU87" s="303"/>
      <c r="AV87" s="303"/>
      <c r="AW87" s="213"/>
      <c r="AX87" s="213"/>
      <c r="AY87" s="213"/>
      <c r="AZ87" s="213"/>
      <c r="BA87" s="213"/>
      <c r="BB87" s="213"/>
      <c r="BC87" s="213"/>
      <c r="BD87" s="213"/>
      <c r="BE87" s="213"/>
      <c r="BF87" s="213"/>
      <c r="BG87" s="213"/>
      <c r="BH87" s="213"/>
      <c r="BI87" s="213"/>
      <c r="BJ87" s="213"/>
    </row>
    <row r="88" spans="1:62" ht="15.6">
      <c r="A88" s="170">
        <f t="shared" si="20"/>
        <v>55</v>
      </c>
      <c r="B88" s="327">
        <f t="shared" si="21"/>
        <v>315</v>
      </c>
      <c r="C88" s="906"/>
      <c r="D88" s="603">
        <f t="shared" si="22"/>
        <v>0</v>
      </c>
      <c r="E88" s="603">
        <f t="shared" si="22"/>
        <v>0</v>
      </c>
      <c r="F88" s="603">
        <f t="shared" si="22"/>
        <v>0</v>
      </c>
      <c r="G88" s="603">
        <f t="shared" si="22"/>
        <v>0</v>
      </c>
      <c r="H88" s="603">
        <f t="shared" si="22"/>
        <v>0</v>
      </c>
      <c r="I88" s="603">
        <f t="shared" si="22"/>
        <v>0</v>
      </c>
      <c r="J88" s="603">
        <f t="shared" si="22"/>
        <v>0</v>
      </c>
      <c r="K88" s="603">
        <f t="shared" si="22"/>
        <v>0</v>
      </c>
      <c r="L88" s="603">
        <f t="shared" si="22"/>
        <v>0</v>
      </c>
      <c r="M88" s="603">
        <f t="shared" si="22"/>
        <v>0</v>
      </c>
      <c r="N88" s="603">
        <f t="shared" si="22"/>
        <v>0</v>
      </c>
      <c r="O88" s="603">
        <f t="shared" si="22"/>
        <v>0</v>
      </c>
      <c r="P88" s="333">
        <f t="shared" si="23"/>
        <v>0</v>
      </c>
      <c r="S88" s="277"/>
      <c r="T88" s="277"/>
      <c r="U88" s="303"/>
      <c r="V88" s="303"/>
      <c r="W88" s="304"/>
      <c r="X88" s="304"/>
      <c r="Y88" s="304"/>
      <c r="Z88" s="304"/>
      <c r="AA88" s="304"/>
      <c r="AB88" s="304"/>
      <c r="AC88" s="304"/>
      <c r="AD88" s="304"/>
      <c r="AE88" s="277"/>
      <c r="AF88" s="277"/>
      <c r="AG88" s="277"/>
      <c r="AH88" s="277"/>
      <c r="AI88" s="277"/>
      <c r="AJ88" s="216"/>
      <c r="AK88" s="304"/>
      <c r="AL88" s="303"/>
      <c r="AM88" s="216"/>
      <c r="AN88" s="304"/>
      <c r="AO88" s="277"/>
      <c r="AP88" s="303"/>
      <c r="AQ88" s="303"/>
      <c r="AR88" s="304"/>
      <c r="AS88" s="303"/>
      <c r="AT88" s="303"/>
      <c r="AU88" s="303"/>
      <c r="AV88" s="303"/>
      <c r="AW88" s="213"/>
      <c r="AX88" s="213"/>
      <c r="AY88" s="213"/>
      <c r="AZ88" s="213"/>
      <c r="BA88" s="213"/>
      <c r="BB88" s="213"/>
      <c r="BC88" s="213"/>
      <c r="BD88" s="213"/>
      <c r="BE88" s="213"/>
      <c r="BF88" s="213"/>
      <c r="BG88" s="213"/>
      <c r="BH88" s="213"/>
      <c r="BI88" s="213"/>
      <c r="BJ88" s="213"/>
    </row>
    <row r="89" spans="1:62" ht="15.6">
      <c r="A89" s="170">
        <f t="shared" si="20"/>
        <v>56</v>
      </c>
      <c r="B89" s="327">
        <f t="shared" si="21"/>
        <v>316</v>
      </c>
      <c r="C89" s="906"/>
      <c r="D89" s="603">
        <f t="shared" si="22"/>
        <v>0</v>
      </c>
      <c r="E89" s="603">
        <f t="shared" si="22"/>
        <v>0</v>
      </c>
      <c r="F89" s="603">
        <f t="shared" si="22"/>
        <v>0</v>
      </c>
      <c r="G89" s="603">
        <f t="shared" si="22"/>
        <v>0</v>
      </c>
      <c r="H89" s="603">
        <f t="shared" si="22"/>
        <v>0</v>
      </c>
      <c r="I89" s="603">
        <f t="shared" si="22"/>
        <v>0</v>
      </c>
      <c r="J89" s="603">
        <f t="shared" si="22"/>
        <v>0</v>
      </c>
      <c r="K89" s="603">
        <f>K79*$C89/100/12</f>
        <v>0</v>
      </c>
      <c r="L89" s="603">
        <f t="shared" si="22"/>
        <v>0</v>
      </c>
      <c r="M89" s="603">
        <f t="shared" si="22"/>
        <v>0</v>
      </c>
      <c r="N89" s="603">
        <f t="shared" si="22"/>
        <v>0</v>
      </c>
      <c r="O89" s="603">
        <f t="shared" si="22"/>
        <v>0</v>
      </c>
      <c r="P89" s="361">
        <f t="shared" si="23"/>
        <v>0</v>
      </c>
      <c r="S89" s="277"/>
      <c r="T89" s="277"/>
      <c r="U89" s="303"/>
      <c r="V89" s="303"/>
      <c r="W89" s="304"/>
      <c r="X89" s="304"/>
      <c r="Y89" s="304"/>
      <c r="Z89" s="304"/>
      <c r="AA89" s="304"/>
      <c r="AB89" s="304"/>
      <c r="AC89" s="304"/>
      <c r="AD89" s="304"/>
      <c r="AE89" s="277"/>
      <c r="AF89" s="277"/>
      <c r="AG89" s="277"/>
      <c r="AH89" s="277"/>
      <c r="AI89" s="277"/>
      <c r="AJ89" s="216"/>
      <c r="AK89" s="304"/>
      <c r="AL89" s="303"/>
      <c r="AM89" s="216"/>
      <c r="AN89" s="304"/>
      <c r="AO89" s="277"/>
      <c r="AP89" s="303"/>
      <c r="AQ89" s="303"/>
      <c r="AR89" s="304"/>
      <c r="AS89" s="303"/>
      <c r="AT89" s="303"/>
      <c r="AU89" s="303"/>
      <c r="AV89" s="303"/>
      <c r="AW89" s="213"/>
      <c r="AX89" s="213"/>
      <c r="AY89" s="213"/>
      <c r="AZ89" s="213"/>
      <c r="BA89" s="213"/>
      <c r="BB89" s="213"/>
      <c r="BC89" s="213"/>
      <c r="BD89" s="213"/>
      <c r="BE89" s="213"/>
      <c r="BF89" s="213"/>
      <c r="BG89" s="213"/>
      <c r="BH89" s="213"/>
      <c r="BI89" s="213"/>
      <c r="BJ89" s="213"/>
    </row>
    <row r="90" spans="1:62" ht="15.6">
      <c r="A90" s="170"/>
      <c r="B90" s="327"/>
      <c r="C90" s="324"/>
      <c r="D90" s="328"/>
      <c r="E90" s="328"/>
      <c r="F90" s="328"/>
      <c r="G90" s="328"/>
      <c r="H90" s="328"/>
      <c r="I90" s="328"/>
      <c r="J90" s="328"/>
      <c r="K90" s="328"/>
      <c r="L90" s="328"/>
      <c r="M90" s="328"/>
      <c r="N90" s="328"/>
      <c r="O90" s="328"/>
      <c r="P90" s="362"/>
      <c r="S90" s="277"/>
      <c r="T90" s="277"/>
      <c r="U90" s="277"/>
      <c r="V90" s="303"/>
      <c r="W90" s="304"/>
      <c r="X90" s="304"/>
      <c r="Y90" s="304"/>
      <c r="Z90" s="304"/>
      <c r="AA90" s="304"/>
      <c r="AB90" s="304"/>
      <c r="AC90" s="304"/>
      <c r="AD90" s="304"/>
      <c r="AE90" s="277"/>
      <c r="AF90" s="277"/>
      <c r="AG90" s="277"/>
      <c r="AH90" s="277"/>
      <c r="AI90" s="277"/>
      <c r="AJ90" s="216"/>
      <c r="AK90" s="304"/>
      <c r="AL90" s="303"/>
      <c r="AM90" s="216"/>
      <c r="AN90" s="304"/>
      <c r="AO90" s="277"/>
      <c r="AP90" s="303"/>
      <c r="AQ90" s="303"/>
      <c r="AR90" s="304"/>
      <c r="AS90" s="303"/>
      <c r="AT90" s="303"/>
      <c r="AU90" s="303"/>
      <c r="AV90" s="303"/>
      <c r="AW90" s="213"/>
      <c r="AX90" s="213"/>
      <c r="AY90" s="213"/>
      <c r="AZ90" s="213"/>
      <c r="BA90" s="213"/>
      <c r="BB90" s="213"/>
      <c r="BC90" s="213"/>
      <c r="BD90" s="213"/>
      <c r="BE90" s="213"/>
      <c r="BF90" s="213"/>
      <c r="BG90" s="213"/>
      <c r="BH90" s="213"/>
      <c r="BI90" s="213"/>
      <c r="BJ90" s="213"/>
    </row>
    <row r="91" spans="1:62" ht="18.600000000000001">
      <c r="A91" s="355"/>
      <c r="B91" s="355" t="s">
        <v>1078</v>
      </c>
      <c r="C91" s="334" t="s">
        <v>730</v>
      </c>
      <c r="D91" s="1778" t="s">
        <v>731</v>
      </c>
      <c r="E91" s="1779"/>
      <c r="F91" s="1779"/>
      <c r="G91" s="1779"/>
      <c r="H91" s="1779"/>
      <c r="I91" s="1779"/>
      <c r="J91" s="1779"/>
      <c r="K91" s="1779"/>
      <c r="L91" s="1779"/>
      <c r="M91" s="1779"/>
      <c r="N91" s="1779"/>
      <c r="O91" s="1779"/>
      <c r="P91" s="1779"/>
      <c r="S91" s="277"/>
      <c r="T91" s="277"/>
      <c r="U91" s="277"/>
      <c r="V91" s="303"/>
      <c r="W91" s="303"/>
      <c r="X91" s="303"/>
      <c r="Y91" s="303"/>
      <c r="Z91" s="303"/>
      <c r="AA91" s="303"/>
      <c r="AB91" s="303"/>
      <c r="AC91" s="303"/>
      <c r="AD91" s="277"/>
      <c r="AE91" s="277"/>
      <c r="AF91" s="277"/>
      <c r="AG91" s="277"/>
      <c r="AH91" s="277"/>
      <c r="AI91" s="277"/>
      <c r="AJ91" s="216"/>
      <c r="AK91" s="304"/>
      <c r="AL91" s="303"/>
      <c r="AM91" s="216"/>
      <c r="AN91" s="304"/>
      <c r="AO91" s="277"/>
      <c r="AP91" s="303"/>
      <c r="AQ91" s="303"/>
      <c r="AR91" s="304"/>
      <c r="AS91" s="303"/>
      <c r="AT91" s="303"/>
      <c r="AU91" s="303"/>
      <c r="AV91" s="303"/>
      <c r="AW91" s="213"/>
      <c r="AX91" s="213"/>
      <c r="AY91" s="213"/>
      <c r="AZ91" s="213"/>
      <c r="BA91" s="213"/>
      <c r="BB91" s="213"/>
      <c r="BC91" s="213"/>
      <c r="BD91" s="213"/>
      <c r="BE91" s="213"/>
      <c r="BF91" s="213"/>
      <c r="BG91" s="213"/>
      <c r="BH91" s="213"/>
      <c r="BI91" s="213"/>
      <c r="BJ91" s="213"/>
    </row>
    <row r="92" spans="1:62" ht="18.600000000000001">
      <c r="A92" s="355"/>
      <c r="B92" s="322" t="s">
        <v>928</v>
      </c>
      <c r="C92" s="335" t="s">
        <v>732</v>
      </c>
      <c r="D92" s="358" t="s">
        <v>716</v>
      </c>
      <c r="E92" s="358" t="s">
        <v>717</v>
      </c>
      <c r="F92" s="358" t="s">
        <v>718</v>
      </c>
      <c r="G92" s="358" t="s">
        <v>719</v>
      </c>
      <c r="H92" s="358" t="s">
        <v>720</v>
      </c>
      <c r="I92" s="358" t="s">
        <v>721</v>
      </c>
      <c r="J92" s="358" t="s">
        <v>722</v>
      </c>
      <c r="K92" s="358" t="s">
        <v>723</v>
      </c>
      <c r="L92" s="358" t="s">
        <v>724</v>
      </c>
      <c r="M92" s="358" t="s">
        <v>725</v>
      </c>
      <c r="N92" s="358" t="s">
        <v>726</v>
      </c>
      <c r="O92" s="358" t="s">
        <v>715</v>
      </c>
      <c r="P92" s="360" t="s">
        <v>628</v>
      </c>
      <c r="S92" s="277"/>
      <c r="T92" s="277"/>
      <c r="U92" s="302"/>
      <c r="V92" s="277"/>
      <c r="W92" s="277"/>
      <c r="X92" s="277"/>
      <c r="Y92" s="277"/>
      <c r="Z92" s="277"/>
      <c r="AA92" s="277"/>
      <c r="AB92" s="277"/>
      <c r="AC92" s="277"/>
      <c r="AD92" s="277"/>
      <c r="AE92" s="277"/>
      <c r="AF92" s="277"/>
      <c r="AG92" s="277"/>
      <c r="AH92" s="277"/>
      <c r="AI92" s="277"/>
      <c r="AJ92" s="216"/>
      <c r="AK92" s="304"/>
      <c r="AL92" s="303"/>
      <c r="AM92" s="216"/>
      <c r="AN92" s="304"/>
      <c r="AO92" s="277"/>
      <c r="AP92" s="303"/>
      <c r="AQ92" s="303"/>
      <c r="AR92" s="304"/>
      <c r="AS92" s="303"/>
      <c r="AT92" s="303"/>
      <c r="AU92" s="303"/>
      <c r="AV92" s="303"/>
      <c r="AW92" s="213"/>
      <c r="AX92" s="213"/>
      <c r="AY92" s="213"/>
      <c r="AZ92" s="213"/>
      <c r="BA92" s="213"/>
      <c r="BB92" s="213"/>
      <c r="BC92" s="213"/>
      <c r="BD92" s="213"/>
      <c r="BE92" s="213"/>
      <c r="BF92" s="213"/>
      <c r="BG92" s="213"/>
      <c r="BH92" s="213"/>
      <c r="BI92" s="213"/>
      <c r="BJ92" s="213"/>
    </row>
    <row r="93" spans="1:62" ht="15.6">
      <c r="A93" s="170">
        <f>A89+1</f>
        <v>57</v>
      </c>
      <c r="B93" s="327">
        <f>B73</f>
        <v>311</v>
      </c>
      <c r="C93" s="907">
        <v>0</v>
      </c>
      <c r="D93" s="603">
        <f>C93+D83</f>
        <v>0</v>
      </c>
      <c r="E93" s="603">
        <f t="shared" ref="E93:O95" si="24">D93+E83</f>
        <v>0</v>
      </c>
      <c r="F93" s="603">
        <f t="shared" si="24"/>
        <v>0</v>
      </c>
      <c r="G93" s="603">
        <f t="shared" si="24"/>
        <v>0</v>
      </c>
      <c r="H93" s="603">
        <f t="shared" si="24"/>
        <v>0</v>
      </c>
      <c r="I93" s="603">
        <f t="shared" si="24"/>
        <v>0</v>
      </c>
      <c r="J93" s="603">
        <f t="shared" si="24"/>
        <v>0</v>
      </c>
      <c r="K93" s="603">
        <f t="shared" si="24"/>
        <v>0</v>
      </c>
      <c r="L93" s="603">
        <f t="shared" si="24"/>
        <v>0</v>
      </c>
      <c r="M93" s="603">
        <f t="shared" si="24"/>
        <v>0</v>
      </c>
      <c r="N93" s="603">
        <f t="shared" si="24"/>
        <v>0</v>
      </c>
      <c r="O93" s="603">
        <f t="shared" si="24"/>
        <v>0</v>
      </c>
      <c r="P93" s="333">
        <f>O93</f>
        <v>0</v>
      </c>
      <c r="S93" s="277"/>
      <c r="T93" s="277"/>
      <c r="U93" s="277"/>
      <c r="V93" s="277"/>
      <c r="W93" s="277"/>
      <c r="X93" s="277"/>
      <c r="Y93" s="277"/>
      <c r="Z93" s="277"/>
      <c r="AA93" s="277"/>
      <c r="AB93" s="277"/>
      <c r="AC93" s="277"/>
      <c r="AD93" s="277"/>
      <c r="AE93" s="277"/>
      <c r="AF93" s="277"/>
      <c r="AG93" s="277"/>
      <c r="AH93" s="277"/>
      <c r="AI93" s="277"/>
      <c r="AJ93" s="216"/>
      <c r="AK93" s="304"/>
      <c r="AL93" s="303"/>
      <c r="AM93" s="216"/>
      <c r="AN93" s="304"/>
      <c r="AO93" s="277"/>
      <c r="AP93" s="303"/>
      <c r="AQ93" s="303"/>
      <c r="AR93" s="304"/>
      <c r="AS93" s="303"/>
      <c r="AT93" s="303"/>
      <c r="AU93" s="303"/>
      <c r="AV93" s="303"/>
      <c r="AW93" s="213"/>
      <c r="AX93" s="213"/>
      <c r="AY93" s="213"/>
      <c r="AZ93" s="213"/>
      <c r="BA93" s="213"/>
      <c r="BB93" s="213"/>
      <c r="BC93" s="213"/>
      <c r="BD93" s="213"/>
      <c r="BE93" s="213"/>
      <c r="BF93" s="213"/>
      <c r="BG93" s="213"/>
      <c r="BH93" s="213"/>
      <c r="BI93" s="213"/>
      <c r="BJ93" s="213"/>
    </row>
    <row r="94" spans="1:62" ht="15.6">
      <c r="A94" s="170">
        <f t="shared" ref="A94:A99" si="25">A93+1</f>
        <v>58</v>
      </c>
      <c r="B94" s="327">
        <f t="shared" ref="B94:B99" si="26">B74</f>
        <v>312</v>
      </c>
      <c r="C94" s="907">
        <v>0</v>
      </c>
      <c r="D94" s="603">
        <f>C94+D84</f>
        <v>0</v>
      </c>
      <c r="E94" s="603">
        <f t="shared" si="24"/>
        <v>0</v>
      </c>
      <c r="F94" s="603">
        <f t="shared" si="24"/>
        <v>0</v>
      </c>
      <c r="G94" s="603">
        <f t="shared" si="24"/>
        <v>0</v>
      </c>
      <c r="H94" s="603">
        <f t="shared" si="24"/>
        <v>0</v>
      </c>
      <c r="I94" s="603">
        <f t="shared" si="24"/>
        <v>0</v>
      </c>
      <c r="J94" s="603">
        <f t="shared" si="24"/>
        <v>0</v>
      </c>
      <c r="K94" s="603">
        <f t="shared" si="24"/>
        <v>0</v>
      </c>
      <c r="L94" s="603">
        <f t="shared" si="24"/>
        <v>0</v>
      </c>
      <c r="M94" s="603">
        <f t="shared" si="24"/>
        <v>0</v>
      </c>
      <c r="N94" s="603">
        <f t="shared" si="24"/>
        <v>0</v>
      </c>
      <c r="O94" s="603">
        <f t="shared" si="24"/>
        <v>0</v>
      </c>
      <c r="P94" s="333">
        <f t="shared" ref="P94:P99" si="27">O94</f>
        <v>0</v>
      </c>
      <c r="S94" s="277"/>
      <c r="T94" s="277"/>
      <c r="U94" s="303"/>
      <c r="V94" s="303"/>
      <c r="W94" s="311"/>
      <c r="X94" s="311"/>
      <c r="Y94" s="303"/>
      <c r="Z94" s="303"/>
      <c r="AA94" s="303"/>
      <c r="AB94" s="303"/>
      <c r="AC94" s="303"/>
      <c r="AD94" s="303"/>
      <c r="AE94" s="303"/>
      <c r="AF94" s="277"/>
      <c r="AG94" s="277"/>
      <c r="AH94" s="277"/>
      <c r="AI94" s="277"/>
      <c r="AJ94" s="216"/>
      <c r="AK94" s="304"/>
      <c r="AL94" s="303"/>
      <c r="AM94" s="216"/>
      <c r="AN94" s="304"/>
      <c r="AO94" s="277"/>
      <c r="AP94" s="303"/>
      <c r="AQ94" s="303"/>
      <c r="AR94" s="304"/>
      <c r="AS94" s="303"/>
      <c r="AT94" s="303"/>
      <c r="AU94" s="303"/>
      <c r="AV94" s="303"/>
      <c r="AW94" s="213"/>
      <c r="AX94" s="213"/>
      <c r="AY94" s="213"/>
      <c r="AZ94" s="213"/>
      <c r="BA94" s="213"/>
      <c r="BB94" s="213"/>
      <c r="BC94" s="213"/>
      <c r="BD94" s="213"/>
      <c r="BE94" s="213"/>
      <c r="BF94" s="213"/>
      <c r="BG94" s="213"/>
      <c r="BH94" s="213"/>
      <c r="BI94" s="213"/>
      <c r="BJ94" s="213"/>
    </row>
    <row r="95" spans="1:62" ht="15.6">
      <c r="A95" s="170">
        <f t="shared" si="25"/>
        <v>59</v>
      </c>
      <c r="B95" s="327">
        <f t="shared" si="26"/>
        <v>312.10000000000002</v>
      </c>
      <c r="C95" s="907">
        <v>0</v>
      </c>
      <c r="D95" s="603">
        <f>C95+D85</f>
        <v>0</v>
      </c>
      <c r="E95" s="603">
        <f t="shared" si="24"/>
        <v>0</v>
      </c>
      <c r="F95" s="603">
        <f t="shared" si="24"/>
        <v>0</v>
      </c>
      <c r="G95" s="603">
        <f t="shared" si="24"/>
        <v>0</v>
      </c>
      <c r="H95" s="603">
        <f t="shared" si="24"/>
        <v>0</v>
      </c>
      <c r="I95" s="603">
        <f t="shared" si="24"/>
        <v>0</v>
      </c>
      <c r="J95" s="603">
        <f t="shared" si="24"/>
        <v>0</v>
      </c>
      <c r="K95" s="603">
        <f t="shared" si="24"/>
        <v>0</v>
      </c>
      <c r="L95" s="603">
        <f t="shared" si="24"/>
        <v>0</v>
      </c>
      <c r="M95" s="603">
        <f t="shared" si="24"/>
        <v>0</v>
      </c>
      <c r="N95" s="603">
        <f t="shared" si="24"/>
        <v>0</v>
      </c>
      <c r="O95" s="603">
        <f t="shared" si="24"/>
        <v>0</v>
      </c>
      <c r="P95" s="333">
        <f t="shared" si="27"/>
        <v>0</v>
      </c>
      <c r="S95" s="277"/>
      <c r="T95" s="277"/>
      <c r="U95" s="305"/>
      <c r="V95" s="303"/>
      <c r="W95" s="307"/>
      <c r="X95" s="307"/>
      <c r="Y95" s="303"/>
      <c r="Z95" s="303"/>
      <c r="AA95" s="303"/>
      <c r="AB95" s="303"/>
      <c r="AC95" s="303"/>
      <c r="AD95" s="277"/>
      <c r="AE95" s="277"/>
      <c r="AF95" s="277"/>
      <c r="AG95" s="277"/>
      <c r="AH95" s="277"/>
      <c r="AI95" s="277"/>
      <c r="AJ95" s="216"/>
      <c r="AK95" s="304"/>
      <c r="AL95" s="303"/>
      <c r="AM95" s="216"/>
      <c r="AN95" s="304"/>
      <c r="AO95" s="277"/>
      <c r="AP95" s="303"/>
      <c r="AQ95" s="303"/>
      <c r="AR95" s="304"/>
      <c r="AS95" s="303"/>
      <c r="AT95" s="303"/>
      <c r="AU95" s="303"/>
      <c r="AV95" s="303"/>
      <c r="AW95" s="213"/>
      <c r="AX95" s="213"/>
      <c r="AY95" s="213"/>
      <c r="AZ95" s="213"/>
      <c r="BA95" s="213"/>
      <c r="BB95" s="213"/>
      <c r="BC95" s="213"/>
      <c r="BD95" s="213"/>
      <c r="BE95" s="213"/>
      <c r="BF95" s="213"/>
      <c r="BG95" s="213"/>
      <c r="BH95" s="213"/>
      <c r="BI95" s="213"/>
      <c r="BJ95" s="213"/>
    </row>
    <row r="96" spans="1:62" ht="15.6">
      <c r="A96" s="170">
        <f t="shared" si="25"/>
        <v>60</v>
      </c>
      <c r="B96" s="327">
        <f t="shared" si="26"/>
        <v>312.2</v>
      </c>
      <c r="C96" s="907">
        <v>0</v>
      </c>
      <c r="D96" s="603">
        <f t="shared" ref="D96:O99" si="28">C96+D86</f>
        <v>0</v>
      </c>
      <c r="E96" s="603">
        <f t="shared" si="28"/>
        <v>0</v>
      </c>
      <c r="F96" s="603">
        <f t="shared" si="28"/>
        <v>0</v>
      </c>
      <c r="G96" s="603">
        <f t="shared" si="28"/>
        <v>0</v>
      </c>
      <c r="H96" s="603">
        <f t="shared" si="28"/>
        <v>0</v>
      </c>
      <c r="I96" s="603">
        <f t="shared" si="28"/>
        <v>0</v>
      </c>
      <c r="J96" s="603">
        <f t="shared" si="28"/>
        <v>0</v>
      </c>
      <c r="K96" s="603">
        <f t="shared" si="28"/>
        <v>0</v>
      </c>
      <c r="L96" s="603">
        <f t="shared" si="28"/>
        <v>0</v>
      </c>
      <c r="M96" s="603">
        <f t="shared" si="28"/>
        <v>0</v>
      </c>
      <c r="N96" s="603">
        <f t="shared" si="28"/>
        <v>0</v>
      </c>
      <c r="O96" s="603">
        <f t="shared" si="28"/>
        <v>0</v>
      </c>
      <c r="P96" s="333">
        <f t="shared" si="27"/>
        <v>0</v>
      </c>
      <c r="S96" s="277"/>
      <c r="T96" s="277"/>
      <c r="U96" s="303"/>
      <c r="V96" s="303"/>
      <c r="W96" s="304"/>
      <c r="X96" s="304"/>
      <c r="Y96" s="304"/>
      <c r="Z96" s="304"/>
      <c r="AA96" s="304"/>
      <c r="AB96" s="303"/>
      <c r="AC96" s="303"/>
      <c r="AD96" s="277"/>
      <c r="AE96" s="277"/>
      <c r="AF96" s="277"/>
      <c r="AG96" s="277"/>
      <c r="AH96" s="277"/>
      <c r="AI96" s="277"/>
      <c r="AJ96" s="216"/>
      <c r="AK96" s="304"/>
      <c r="AL96" s="303"/>
      <c r="AM96" s="216"/>
      <c r="AN96" s="304"/>
      <c r="AO96" s="277"/>
      <c r="AP96" s="303"/>
      <c r="AQ96" s="303"/>
      <c r="AR96" s="304"/>
      <c r="AS96" s="303"/>
      <c r="AT96" s="303"/>
      <c r="AU96" s="303"/>
      <c r="AV96" s="303"/>
      <c r="AW96" s="213"/>
      <c r="AX96" s="213"/>
      <c r="AY96" s="213"/>
      <c r="AZ96" s="213"/>
      <c r="BA96" s="213"/>
      <c r="BB96" s="213"/>
      <c r="BC96" s="213"/>
      <c r="BD96" s="213"/>
      <c r="BE96" s="213"/>
      <c r="BF96" s="213"/>
      <c r="BG96" s="213"/>
      <c r="BH96" s="213"/>
      <c r="BI96" s="213"/>
      <c r="BJ96" s="213"/>
    </row>
    <row r="97" spans="1:243" ht="15.6">
      <c r="A97" s="170">
        <f t="shared" si="25"/>
        <v>61</v>
      </c>
      <c r="B97" s="327">
        <f t="shared" si="26"/>
        <v>314</v>
      </c>
      <c r="C97" s="907">
        <v>0</v>
      </c>
      <c r="D97" s="603">
        <f t="shared" si="28"/>
        <v>0</v>
      </c>
      <c r="E97" s="603">
        <f t="shared" si="28"/>
        <v>0</v>
      </c>
      <c r="F97" s="603">
        <f t="shared" si="28"/>
        <v>0</v>
      </c>
      <c r="G97" s="603">
        <f t="shared" si="28"/>
        <v>0</v>
      </c>
      <c r="H97" s="603">
        <f t="shared" si="28"/>
        <v>0</v>
      </c>
      <c r="I97" s="603">
        <f t="shared" si="28"/>
        <v>0</v>
      </c>
      <c r="J97" s="603">
        <f t="shared" si="28"/>
        <v>0</v>
      </c>
      <c r="K97" s="603">
        <f t="shared" si="28"/>
        <v>0</v>
      </c>
      <c r="L97" s="603">
        <f t="shared" si="28"/>
        <v>0</v>
      </c>
      <c r="M97" s="603">
        <f t="shared" si="28"/>
        <v>0</v>
      </c>
      <c r="N97" s="603">
        <f t="shared" si="28"/>
        <v>0</v>
      </c>
      <c r="O97" s="603">
        <f t="shared" si="28"/>
        <v>0</v>
      </c>
      <c r="P97" s="333">
        <f t="shared" si="27"/>
        <v>0</v>
      </c>
      <c r="S97" s="277"/>
      <c r="T97" s="277"/>
      <c r="U97" s="303"/>
      <c r="V97" s="303"/>
      <c r="W97" s="304"/>
      <c r="X97" s="304"/>
      <c r="Y97" s="304"/>
      <c r="Z97" s="304"/>
      <c r="AA97" s="304"/>
      <c r="AB97" s="303"/>
      <c r="AC97" s="303"/>
      <c r="AD97" s="277"/>
      <c r="AE97" s="277"/>
      <c r="AF97" s="277"/>
      <c r="AG97" s="277"/>
      <c r="AH97" s="277"/>
      <c r="AI97" s="277"/>
      <c r="AJ97" s="216"/>
      <c r="AK97" s="304"/>
      <c r="AL97" s="303"/>
      <c r="AM97" s="216"/>
      <c r="AN97" s="304"/>
      <c r="AO97" s="277"/>
      <c r="AP97" s="303"/>
      <c r="AQ97" s="303"/>
      <c r="AR97" s="304"/>
      <c r="AS97" s="303"/>
      <c r="AT97" s="303"/>
      <c r="AU97" s="303"/>
      <c r="AV97" s="303"/>
      <c r="AW97" s="213"/>
      <c r="AX97" s="213"/>
      <c r="AY97" s="213"/>
      <c r="AZ97" s="213"/>
      <c r="BA97" s="213"/>
      <c r="BB97" s="213"/>
      <c r="BC97" s="213"/>
      <c r="BD97" s="213"/>
      <c r="BE97" s="213"/>
      <c r="BF97" s="213"/>
      <c r="BG97" s="213"/>
      <c r="BH97" s="213"/>
      <c r="BI97" s="213"/>
      <c r="BJ97" s="213"/>
    </row>
    <row r="98" spans="1:243" ht="15.6">
      <c r="A98" s="170">
        <f t="shared" si="25"/>
        <v>62</v>
      </c>
      <c r="B98" s="327">
        <f t="shared" si="26"/>
        <v>315</v>
      </c>
      <c r="C98" s="907">
        <v>0</v>
      </c>
      <c r="D98" s="603">
        <f t="shared" si="28"/>
        <v>0</v>
      </c>
      <c r="E98" s="603">
        <f t="shared" si="28"/>
        <v>0</v>
      </c>
      <c r="F98" s="603">
        <f t="shared" si="28"/>
        <v>0</v>
      </c>
      <c r="G98" s="603">
        <f t="shared" si="28"/>
        <v>0</v>
      </c>
      <c r="H98" s="603">
        <f t="shared" si="28"/>
        <v>0</v>
      </c>
      <c r="I98" s="603">
        <f t="shared" si="28"/>
        <v>0</v>
      </c>
      <c r="J98" s="603">
        <f t="shared" si="28"/>
        <v>0</v>
      </c>
      <c r="K98" s="603">
        <f t="shared" si="28"/>
        <v>0</v>
      </c>
      <c r="L98" s="603">
        <f t="shared" si="28"/>
        <v>0</v>
      </c>
      <c r="M98" s="603">
        <f t="shared" si="28"/>
        <v>0</v>
      </c>
      <c r="N98" s="603">
        <f t="shared" si="28"/>
        <v>0</v>
      </c>
      <c r="O98" s="603">
        <f t="shared" si="28"/>
        <v>0</v>
      </c>
      <c r="P98" s="333">
        <f t="shared" si="27"/>
        <v>0</v>
      </c>
      <c r="S98" s="277"/>
      <c r="T98" s="277"/>
      <c r="U98" s="303"/>
      <c r="V98" s="303"/>
      <c r="W98" s="304"/>
      <c r="X98" s="304"/>
      <c r="Y98" s="304"/>
      <c r="Z98" s="304"/>
      <c r="AA98" s="304"/>
      <c r="AB98" s="303"/>
      <c r="AC98" s="303"/>
      <c r="AD98" s="277"/>
      <c r="AE98" s="277"/>
      <c r="AF98" s="277"/>
      <c r="AG98" s="277"/>
      <c r="AH98" s="277"/>
      <c r="AI98" s="277"/>
      <c r="AJ98" s="216"/>
      <c r="AK98" s="304"/>
      <c r="AL98" s="303"/>
      <c r="AM98" s="216"/>
      <c r="AN98" s="304"/>
      <c r="AO98" s="277"/>
      <c r="AP98" s="303"/>
      <c r="AQ98" s="303"/>
      <c r="AR98" s="304"/>
      <c r="AS98" s="303"/>
      <c r="AT98" s="303"/>
      <c r="AU98" s="303"/>
      <c r="AV98" s="303"/>
      <c r="AW98" s="213"/>
      <c r="AX98" s="213"/>
      <c r="AY98" s="213"/>
      <c r="AZ98" s="213"/>
      <c r="BA98" s="213"/>
      <c r="BB98" s="213"/>
      <c r="BC98" s="213"/>
      <c r="BD98" s="213"/>
      <c r="BE98" s="213"/>
      <c r="BF98" s="213"/>
      <c r="BG98" s="213"/>
      <c r="BH98" s="213"/>
      <c r="BI98" s="213"/>
      <c r="BJ98" s="213"/>
    </row>
    <row r="99" spans="1:243" ht="15.6">
      <c r="A99" s="170">
        <f t="shared" si="25"/>
        <v>63</v>
      </c>
      <c r="B99" s="327">
        <f t="shared" si="26"/>
        <v>316</v>
      </c>
      <c r="C99" s="907">
        <v>0</v>
      </c>
      <c r="D99" s="603">
        <f t="shared" si="28"/>
        <v>0</v>
      </c>
      <c r="E99" s="603">
        <f>D99+E89</f>
        <v>0</v>
      </c>
      <c r="F99" s="603">
        <f>E99+F89</f>
        <v>0</v>
      </c>
      <c r="G99" s="603">
        <f>F99+G89</f>
        <v>0</v>
      </c>
      <c r="H99" s="603">
        <f>G99+H89</f>
        <v>0</v>
      </c>
      <c r="I99" s="603">
        <f>H99+I89</f>
        <v>0</v>
      </c>
      <c r="J99" s="603">
        <f t="shared" si="28"/>
        <v>0</v>
      </c>
      <c r="K99" s="603">
        <f t="shared" si="28"/>
        <v>0</v>
      </c>
      <c r="L99" s="603">
        <f t="shared" si="28"/>
        <v>0</v>
      </c>
      <c r="M99" s="603">
        <f t="shared" si="28"/>
        <v>0</v>
      </c>
      <c r="N99" s="603">
        <f t="shared" si="28"/>
        <v>0</v>
      </c>
      <c r="O99" s="603">
        <f t="shared" si="28"/>
        <v>0</v>
      </c>
      <c r="P99" s="333">
        <f t="shared" si="27"/>
        <v>0</v>
      </c>
      <c r="S99" s="277"/>
      <c r="T99" s="277"/>
      <c r="U99" s="303"/>
      <c r="V99" s="303"/>
      <c r="W99" s="304"/>
      <c r="X99" s="304"/>
      <c r="Y99" s="304"/>
      <c r="Z99" s="304"/>
      <c r="AA99" s="304"/>
      <c r="AB99" s="303"/>
      <c r="AC99" s="303"/>
      <c r="AD99" s="277"/>
      <c r="AE99" s="277"/>
      <c r="AF99" s="277"/>
      <c r="AG99" s="277"/>
      <c r="AH99" s="277"/>
      <c r="AI99" s="277"/>
      <c r="AJ99" s="216"/>
      <c r="AK99" s="304"/>
      <c r="AL99" s="303"/>
      <c r="AM99" s="216"/>
      <c r="AN99" s="304"/>
      <c r="AO99" s="277"/>
      <c r="AP99" s="303"/>
      <c r="AQ99" s="303"/>
      <c r="AR99" s="304"/>
      <c r="AS99" s="303"/>
      <c r="AT99" s="303"/>
      <c r="AU99" s="303"/>
      <c r="AV99" s="303"/>
      <c r="AW99" s="213"/>
      <c r="AX99" s="213"/>
      <c r="AY99" s="213"/>
      <c r="AZ99" s="213"/>
      <c r="BA99" s="213"/>
      <c r="BB99" s="213"/>
      <c r="BC99" s="213"/>
      <c r="BD99" s="213"/>
      <c r="BE99" s="213"/>
      <c r="BF99" s="213"/>
      <c r="BG99" s="213"/>
      <c r="BH99" s="213"/>
      <c r="BI99" s="213"/>
      <c r="BJ99" s="213"/>
    </row>
    <row r="100" spans="1:243" ht="15.6">
      <c r="A100" s="324"/>
      <c r="B100" s="363"/>
      <c r="C100" s="363"/>
      <c r="D100" s="363"/>
      <c r="E100" s="363"/>
      <c r="F100" s="363"/>
      <c r="G100" s="363"/>
      <c r="H100" s="363"/>
      <c r="I100" s="363"/>
      <c r="J100" s="363"/>
      <c r="K100" s="363"/>
      <c r="L100" s="364"/>
      <c r="M100" s="364"/>
      <c r="N100" s="364"/>
      <c r="O100" s="364"/>
      <c r="P100" s="365"/>
      <c r="S100" s="277"/>
      <c r="T100" s="277"/>
      <c r="U100" s="303"/>
      <c r="V100" s="303"/>
      <c r="W100" s="304"/>
      <c r="X100" s="304"/>
      <c r="Y100" s="304"/>
      <c r="Z100" s="304"/>
      <c r="AA100" s="304"/>
      <c r="AB100" s="303"/>
      <c r="AC100" s="303"/>
      <c r="AD100" s="277"/>
      <c r="AE100" s="277"/>
      <c r="AF100" s="277"/>
      <c r="AG100" s="277"/>
      <c r="AH100" s="277"/>
      <c r="AI100" s="277"/>
      <c r="AJ100" s="216"/>
      <c r="AK100" s="304"/>
      <c r="AL100" s="303"/>
      <c r="AM100" s="216"/>
      <c r="AN100" s="304"/>
      <c r="AO100" s="277"/>
      <c r="AP100" s="303"/>
      <c r="AQ100" s="303"/>
      <c r="AR100" s="304"/>
      <c r="AS100" s="303"/>
      <c r="AT100" s="303"/>
      <c r="AU100" s="303"/>
      <c r="AV100" s="303"/>
      <c r="AW100" s="213"/>
      <c r="AX100" s="213"/>
      <c r="AY100" s="213"/>
      <c r="AZ100" s="213"/>
      <c r="BA100" s="213"/>
      <c r="BB100" s="213"/>
      <c r="BC100" s="213"/>
      <c r="BD100" s="213"/>
      <c r="BE100" s="213"/>
      <c r="BF100" s="213"/>
      <c r="BG100" s="213"/>
      <c r="BH100" s="213"/>
      <c r="BI100" s="213"/>
      <c r="BJ100" s="213"/>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row>
    <row r="101" spans="1:243" ht="15.6">
      <c r="A101" s="336" t="s">
        <v>713</v>
      </c>
      <c r="B101" s="342"/>
      <c r="C101" s="341" t="s">
        <v>476</v>
      </c>
      <c r="D101" s="287"/>
      <c r="E101" s="287"/>
      <c r="F101" s="287"/>
      <c r="G101" s="287"/>
      <c r="H101" s="287"/>
      <c r="I101" s="287"/>
      <c r="J101" s="287"/>
      <c r="K101" s="334"/>
      <c r="L101" s="287"/>
      <c r="M101" s="287"/>
      <c r="N101" s="287"/>
      <c r="O101" s="287"/>
      <c r="P101" s="339"/>
      <c r="S101" s="277"/>
      <c r="T101" s="277"/>
      <c r="U101" s="303"/>
      <c r="V101" s="303"/>
      <c r="W101" s="303"/>
      <c r="X101" s="304"/>
      <c r="Y101" s="304"/>
      <c r="Z101" s="304"/>
      <c r="AA101" s="304"/>
      <c r="AB101" s="303"/>
      <c r="AC101" s="303"/>
      <c r="AD101" s="277"/>
      <c r="AE101" s="277"/>
      <c r="AF101" s="277"/>
      <c r="AG101" s="277"/>
      <c r="AH101" s="277"/>
      <c r="AI101" s="277"/>
      <c r="AJ101" s="216"/>
      <c r="AK101" s="304"/>
      <c r="AL101" s="303"/>
      <c r="AM101" s="216"/>
      <c r="AN101" s="304"/>
      <c r="AO101" s="277"/>
      <c r="AP101" s="303"/>
      <c r="AQ101" s="303"/>
      <c r="AR101" s="304"/>
      <c r="AS101" s="303"/>
      <c r="AT101" s="303"/>
      <c r="AU101" s="303"/>
      <c r="AV101" s="303"/>
      <c r="AW101" s="213"/>
      <c r="AX101" s="213"/>
      <c r="AY101" s="213"/>
      <c r="AZ101" s="213"/>
      <c r="BA101" s="213"/>
      <c r="BB101" s="213"/>
      <c r="BC101" s="213"/>
      <c r="BD101" s="213"/>
      <c r="BE101" s="213"/>
      <c r="BF101" s="213"/>
      <c r="BG101" s="213"/>
      <c r="BH101" s="213"/>
      <c r="BI101" s="213"/>
      <c r="BJ101" s="213"/>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row>
    <row r="102" spans="1:243" ht="15.6">
      <c r="A102" s="355"/>
      <c r="B102" s="356"/>
      <c r="C102" s="287"/>
      <c r="D102" s="287"/>
      <c r="E102" s="287"/>
      <c r="F102" s="287"/>
      <c r="G102" s="287"/>
      <c r="H102" s="287"/>
      <c r="I102" s="287"/>
      <c r="J102" s="287"/>
      <c r="K102" s="334"/>
      <c r="L102" s="287"/>
      <c r="M102" s="287"/>
      <c r="N102" s="287"/>
      <c r="O102" s="287"/>
      <c r="P102" s="339"/>
      <c r="S102" s="277"/>
      <c r="T102" s="277"/>
      <c r="U102" s="305"/>
      <c r="V102" s="303"/>
      <c r="W102" s="303"/>
      <c r="X102" s="304"/>
      <c r="Y102" s="304"/>
      <c r="Z102" s="304"/>
      <c r="AA102" s="304"/>
      <c r="AB102" s="303"/>
      <c r="AC102" s="303"/>
      <c r="AD102" s="277"/>
      <c r="AE102" s="277"/>
      <c r="AF102" s="277"/>
      <c r="AG102" s="277"/>
      <c r="AH102" s="277"/>
      <c r="AI102" s="277"/>
      <c r="AJ102" s="216"/>
      <c r="AK102" s="304"/>
      <c r="AL102" s="303"/>
      <c r="AM102" s="216"/>
      <c r="AN102" s="304"/>
      <c r="AO102" s="277"/>
      <c r="AP102" s="303"/>
      <c r="AQ102" s="303"/>
      <c r="AR102" s="304"/>
      <c r="AS102" s="303"/>
      <c r="AT102" s="303"/>
      <c r="AU102" s="303"/>
      <c r="AV102" s="303"/>
      <c r="AW102" s="213"/>
      <c r="AX102" s="213"/>
      <c r="AY102" s="213"/>
      <c r="AZ102" s="213"/>
      <c r="BA102" s="213"/>
      <c r="BB102" s="213"/>
      <c r="BC102" s="213"/>
      <c r="BD102" s="213"/>
      <c r="BE102" s="213"/>
      <c r="BF102" s="213"/>
      <c r="BG102" s="213"/>
      <c r="BH102" s="213"/>
      <c r="BI102" s="213"/>
      <c r="BJ102" s="213"/>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row>
    <row r="103" spans="1:243" ht="18.600000000000001">
      <c r="A103" s="355" t="s">
        <v>494</v>
      </c>
      <c r="B103" s="355" t="s">
        <v>1078</v>
      </c>
      <c r="C103" s="334"/>
      <c r="D103" s="1778" t="s">
        <v>714</v>
      </c>
      <c r="E103" s="1779"/>
      <c r="F103" s="1779"/>
      <c r="G103" s="1779"/>
      <c r="H103" s="1779"/>
      <c r="I103" s="1779"/>
      <c r="J103" s="1779"/>
      <c r="K103" s="1779"/>
      <c r="L103" s="1779"/>
      <c r="M103" s="1779"/>
      <c r="N103" s="1779"/>
      <c r="O103" s="1779"/>
      <c r="P103" s="357"/>
      <c r="S103" s="277"/>
      <c r="T103" s="277"/>
      <c r="U103" s="303"/>
      <c r="V103" s="303"/>
      <c r="W103" s="304"/>
      <c r="X103" s="304"/>
      <c r="Y103" s="304"/>
      <c r="Z103" s="304"/>
      <c r="AA103" s="304"/>
      <c r="AB103" s="303"/>
      <c r="AC103" s="303"/>
      <c r="AD103" s="277"/>
      <c r="AE103" s="277"/>
      <c r="AF103" s="277"/>
      <c r="AG103" s="277"/>
      <c r="AH103" s="277"/>
      <c r="AI103" s="277"/>
      <c r="AJ103" s="216"/>
      <c r="AK103" s="304"/>
      <c r="AL103" s="303"/>
      <c r="AM103" s="216"/>
      <c r="AN103" s="304"/>
      <c r="AO103" s="277"/>
      <c r="AP103" s="303"/>
      <c r="AQ103" s="303"/>
      <c r="AR103" s="304"/>
      <c r="AS103" s="303"/>
      <c r="AT103" s="303"/>
      <c r="AU103" s="303"/>
      <c r="AV103" s="303"/>
      <c r="AW103" s="213"/>
      <c r="AX103" s="213"/>
      <c r="AY103" s="213"/>
      <c r="AZ103" s="213"/>
      <c r="BA103" s="213"/>
      <c r="BB103" s="213"/>
      <c r="BC103" s="213"/>
      <c r="BD103" s="213"/>
      <c r="BE103" s="213"/>
      <c r="BF103" s="213"/>
      <c r="BG103" s="213"/>
      <c r="BH103" s="213"/>
      <c r="BI103" s="213"/>
      <c r="BJ103" s="21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row>
    <row r="104" spans="1:243" ht="15.6">
      <c r="A104" s="322" t="s">
        <v>928</v>
      </c>
      <c r="B104" s="322" t="s">
        <v>928</v>
      </c>
      <c r="C104" s="335"/>
      <c r="D104" s="358" t="s">
        <v>715</v>
      </c>
      <c r="E104" s="358" t="s">
        <v>716</v>
      </c>
      <c r="F104" s="358" t="s">
        <v>717</v>
      </c>
      <c r="G104" s="358" t="s">
        <v>718</v>
      </c>
      <c r="H104" s="358" t="s">
        <v>719</v>
      </c>
      <c r="I104" s="358" t="s">
        <v>720</v>
      </c>
      <c r="J104" s="358" t="s">
        <v>721</v>
      </c>
      <c r="K104" s="358" t="s">
        <v>722</v>
      </c>
      <c r="L104" s="358" t="s">
        <v>723</v>
      </c>
      <c r="M104" s="358" t="s">
        <v>724</v>
      </c>
      <c r="N104" s="358" t="s">
        <v>725</v>
      </c>
      <c r="O104" s="358" t="s">
        <v>726</v>
      </c>
      <c r="P104" s="359"/>
      <c r="S104" s="277"/>
      <c r="T104" s="277"/>
      <c r="U104" s="303"/>
      <c r="V104" s="303"/>
      <c r="W104" s="304"/>
      <c r="X104" s="304"/>
      <c r="Y104" s="304"/>
      <c r="Z104" s="304"/>
      <c r="AA104" s="304"/>
      <c r="AB104" s="303"/>
      <c r="AC104" s="303"/>
      <c r="AD104" s="277"/>
      <c r="AE104" s="277"/>
      <c r="AF104" s="277"/>
      <c r="AG104" s="277"/>
      <c r="AH104" s="277"/>
      <c r="AI104" s="277"/>
      <c r="AJ104" s="216"/>
      <c r="AK104" s="304"/>
      <c r="AL104" s="303"/>
      <c r="AM104" s="216"/>
      <c r="AN104" s="304"/>
      <c r="AO104" s="277"/>
      <c r="AP104" s="303"/>
      <c r="AQ104" s="303"/>
      <c r="AR104" s="304"/>
      <c r="AS104" s="303"/>
      <c r="AT104" s="303"/>
      <c r="AU104" s="303"/>
      <c r="AV104" s="303"/>
      <c r="AW104" s="213"/>
      <c r="AX104" s="213"/>
      <c r="AY104" s="213"/>
      <c r="AZ104" s="213"/>
      <c r="BA104" s="213"/>
      <c r="BB104" s="213"/>
      <c r="BC104" s="213"/>
      <c r="BD104" s="213"/>
      <c r="BE104" s="213"/>
      <c r="BF104" s="213"/>
      <c r="BG104" s="213"/>
      <c r="BH104" s="213"/>
      <c r="BI104" s="213"/>
      <c r="BJ104" s="213"/>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row>
    <row r="105" spans="1:243" ht="15.6">
      <c r="A105" s="170">
        <f>A99+1</f>
        <v>64</v>
      </c>
      <c r="B105" s="327">
        <v>311</v>
      </c>
      <c r="C105" s="287"/>
      <c r="D105" s="905">
        <v>0</v>
      </c>
      <c r="E105" s="905">
        <v>0</v>
      </c>
      <c r="F105" s="905">
        <v>0</v>
      </c>
      <c r="G105" s="905">
        <v>0</v>
      </c>
      <c r="H105" s="905">
        <v>0</v>
      </c>
      <c r="I105" s="905">
        <v>0</v>
      </c>
      <c r="J105" s="905">
        <v>0</v>
      </c>
      <c r="K105" s="905">
        <v>0</v>
      </c>
      <c r="L105" s="905">
        <v>0</v>
      </c>
      <c r="M105" s="905">
        <v>0</v>
      </c>
      <c r="N105" s="905">
        <v>0</v>
      </c>
      <c r="O105" s="905">
        <v>0</v>
      </c>
      <c r="P105" s="333"/>
      <c r="S105" s="277"/>
      <c r="T105" s="277"/>
      <c r="U105" s="303"/>
      <c r="V105" s="303"/>
      <c r="W105" s="304"/>
      <c r="X105" s="304"/>
      <c r="Y105" s="304"/>
      <c r="Z105" s="304"/>
      <c r="AA105" s="304"/>
      <c r="AB105" s="303"/>
      <c r="AC105" s="303"/>
      <c r="AD105" s="277"/>
      <c r="AE105" s="277"/>
      <c r="AF105" s="277"/>
      <c r="AG105" s="277"/>
      <c r="AH105" s="277"/>
      <c r="AI105" s="277"/>
      <c r="AJ105" s="216"/>
      <c r="AK105" s="304"/>
      <c r="AL105" s="303"/>
      <c r="AM105" s="216"/>
      <c r="AN105" s="304"/>
      <c r="AO105" s="277"/>
      <c r="AP105" s="303"/>
      <c r="AQ105" s="303"/>
      <c r="AR105" s="304"/>
      <c r="AS105" s="303"/>
      <c r="AT105" s="303"/>
      <c r="AU105" s="303"/>
      <c r="AV105" s="303"/>
      <c r="AW105" s="213"/>
      <c r="AX105" s="213"/>
      <c r="AY105" s="213"/>
      <c r="AZ105" s="213"/>
      <c r="BA105" s="213"/>
      <c r="BB105" s="213"/>
      <c r="BC105" s="213"/>
      <c r="BD105" s="213"/>
      <c r="BE105" s="213"/>
      <c r="BF105" s="213"/>
      <c r="BG105" s="213"/>
      <c r="BH105" s="213"/>
      <c r="BI105" s="213"/>
      <c r="BJ105" s="213"/>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row>
    <row r="106" spans="1:243" ht="15.6">
      <c r="A106" s="170">
        <f t="shared" ref="A106:A111" si="29">A105+1</f>
        <v>65</v>
      </c>
      <c r="B106" s="327">
        <v>312</v>
      </c>
      <c r="C106" s="287"/>
      <c r="D106" s="905">
        <v>0</v>
      </c>
      <c r="E106" s="907">
        <v>0</v>
      </c>
      <c r="F106" s="907">
        <v>0</v>
      </c>
      <c r="G106" s="907">
        <v>0</v>
      </c>
      <c r="H106" s="907">
        <v>0</v>
      </c>
      <c r="I106" s="907">
        <v>0</v>
      </c>
      <c r="J106" s="907">
        <v>0</v>
      </c>
      <c r="K106" s="905">
        <v>0</v>
      </c>
      <c r="L106" s="907">
        <v>0</v>
      </c>
      <c r="M106" s="907">
        <v>0</v>
      </c>
      <c r="N106" s="907">
        <v>0</v>
      </c>
      <c r="O106" s="907">
        <v>0</v>
      </c>
      <c r="P106" s="333"/>
      <c r="S106" s="277"/>
      <c r="T106" s="277"/>
      <c r="U106" s="303"/>
      <c r="V106" s="303"/>
      <c r="W106" s="304"/>
      <c r="X106" s="304"/>
      <c r="Y106" s="304"/>
      <c r="Z106" s="304"/>
      <c r="AA106" s="304"/>
      <c r="AB106" s="303"/>
      <c r="AC106" s="303"/>
      <c r="AD106" s="277"/>
      <c r="AE106" s="277"/>
      <c r="AF106" s="277"/>
      <c r="AG106" s="277"/>
      <c r="AH106" s="277"/>
      <c r="AI106" s="277"/>
      <c r="AJ106" s="216"/>
      <c r="AK106" s="304"/>
      <c r="AL106" s="303"/>
      <c r="AM106" s="216"/>
      <c r="AN106" s="304"/>
      <c r="AO106" s="277"/>
      <c r="AP106" s="303"/>
      <c r="AQ106" s="303"/>
      <c r="AR106" s="304"/>
      <c r="AS106" s="303"/>
      <c r="AT106" s="303"/>
      <c r="AU106" s="303"/>
      <c r="AV106" s="303"/>
      <c r="AW106" s="213"/>
      <c r="AX106" s="213"/>
      <c r="AY106" s="213"/>
      <c r="AZ106" s="213"/>
      <c r="BA106" s="213"/>
      <c r="BB106" s="213"/>
      <c r="BC106" s="213"/>
      <c r="BD106" s="213"/>
      <c r="BE106" s="213"/>
      <c r="BF106" s="213"/>
      <c r="BG106" s="213"/>
      <c r="BH106" s="213"/>
      <c r="BI106" s="213"/>
      <c r="BJ106" s="213"/>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row>
    <row r="107" spans="1:243" ht="15.6">
      <c r="A107" s="170">
        <f t="shared" si="29"/>
        <v>66</v>
      </c>
      <c r="B107" s="327">
        <v>312.10000000000002</v>
      </c>
      <c r="C107" s="287"/>
      <c r="D107" s="905">
        <v>0</v>
      </c>
      <c r="E107" s="907">
        <v>0</v>
      </c>
      <c r="F107" s="907">
        <v>0</v>
      </c>
      <c r="G107" s="907">
        <v>0</v>
      </c>
      <c r="H107" s="907">
        <v>0</v>
      </c>
      <c r="I107" s="907">
        <v>0</v>
      </c>
      <c r="J107" s="907">
        <v>0</v>
      </c>
      <c r="K107" s="905">
        <v>0</v>
      </c>
      <c r="L107" s="907">
        <v>0</v>
      </c>
      <c r="M107" s="907">
        <v>0</v>
      </c>
      <c r="N107" s="907">
        <v>0</v>
      </c>
      <c r="O107" s="907">
        <v>0</v>
      </c>
      <c r="P107" s="333"/>
      <c r="S107" s="277"/>
      <c r="T107" s="277"/>
      <c r="U107" s="303"/>
      <c r="V107" s="303"/>
      <c r="W107" s="312"/>
      <c r="X107" s="312"/>
      <c r="Y107" s="304"/>
      <c r="Z107" s="304"/>
      <c r="AA107" s="304"/>
      <c r="AB107" s="303"/>
      <c r="AC107" s="303"/>
      <c r="AD107" s="277"/>
      <c r="AE107" s="277"/>
      <c r="AF107" s="277"/>
      <c r="AG107" s="277"/>
      <c r="AH107" s="277"/>
      <c r="AI107" s="277"/>
      <c r="AJ107" s="216"/>
      <c r="AK107" s="304"/>
      <c r="AL107" s="303"/>
      <c r="AM107" s="216"/>
      <c r="AN107" s="304"/>
      <c r="AO107" s="277"/>
      <c r="AP107" s="303"/>
      <c r="AQ107" s="303"/>
      <c r="AR107" s="304"/>
      <c r="AS107" s="303"/>
      <c r="AT107" s="303"/>
      <c r="AU107" s="303"/>
      <c r="AV107" s="303"/>
      <c r="AW107" s="213"/>
      <c r="AX107" s="213"/>
      <c r="AY107" s="213"/>
      <c r="AZ107" s="213"/>
      <c r="BA107" s="213"/>
      <c r="BB107" s="213"/>
      <c r="BC107" s="213"/>
      <c r="BD107" s="213"/>
      <c r="BE107" s="213"/>
      <c r="BF107" s="213"/>
      <c r="BG107" s="213"/>
      <c r="BH107" s="213"/>
      <c r="BI107" s="213"/>
      <c r="BJ107" s="213"/>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row>
    <row r="108" spans="1:243" ht="15.6">
      <c r="A108" s="170">
        <f t="shared" si="29"/>
        <v>67</v>
      </c>
      <c r="B108" s="327">
        <v>312.2</v>
      </c>
      <c r="C108" s="287"/>
      <c r="D108" s="905">
        <v>0</v>
      </c>
      <c r="E108" s="907">
        <v>0</v>
      </c>
      <c r="F108" s="907">
        <v>0</v>
      </c>
      <c r="G108" s="907">
        <v>0</v>
      </c>
      <c r="H108" s="907">
        <v>0</v>
      </c>
      <c r="I108" s="907">
        <v>0</v>
      </c>
      <c r="J108" s="907">
        <v>0</v>
      </c>
      <c r="K108" s="907">
        <v>0</v>
      </c>
      <c r="L108" s="907">
        <v>0</v>
      </c>
      <c r="M108" s="907">
        <v>0</v>
      </c>
      <c r="N108" s="907">
        <v>0</v>
      </c>
      <c r="O108" s="907">
        <v>0</v>
      </c>
      <c r="P108" s="333"/>
      <c r="S108" s="277"/>
      <c r="T108" s="277"/>
      <c r="U108" s="303"/>
      <c r="V108" s="303"/>
      <c r="W108" s="304"/>
      <c r="X108" s="304"/>
      <c r="Y108" s="304"/>
      <c r="Z108" s="304"/>
      <c r="AA108" s="304"/>
      <c r="AB108" s="303"/>
      <c r="AC108" s="303"/>
      <c r="AD108" s="277"/>
      <c r="AE108" s="277"/>
      <c r="AF108" s="277"/>
      <c r="AG108" s="277"/>
      <c r="AH108" s="277"/>
      <c r="AI108" s="277"/>
      <c r="AJ108" s="216"/>
      <c r="AK108" s="304"/>
      <c r="AL108" s="303"/>
      <c r="AM108" s="216"/>
      <c r="AN108" s="304"/>
      <c r="AO108" s="277"/>
      <c r="AP108" s="303"/>
      <c r="AQ108" s="303"/>
      <c r="AR108" s="304"/>
      <c r="AS108" s="303"/>
      <c r="AT108" s="303"/>
      <c r="AU108" s="303"/>
      <c r="AV108" s="303"/>
      <c r="AW108" s="213"/>
      <c r="AX108" s="213"/>
      <c r="AY108" s="213"/>
      <c r="AZ108" s="213"/>
      <c r="BA108" s="213"/>
      <c r="BB108" s="213"/>
      <c r="BC108" s="213"/>
      <c r="BD108" s="213"/>
      <c r="BE108" s="213"/>
      <c r="BF108" s="213"/>
      <c r="BG108" s="213"/>
      <c r="BH108" s="213"/>
      <c r="BI108" s="213"/>
      <c r="BJ108" s="213"/>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row>
    <row r="109" spans="1:243" ht="15.6">
      <c r="A109" s="170">
        <f t="shared" si="29"/>
        <v>68</v>
      </c>
      <c r="B109" s="327">
        <v>314</v>
      </c>
      <c r="C109" s="287"/>
      <c r="D109" s="905">
        <v>0</v>
      </c>
      <c r="E109" s="907">
        <v>0</v>
      </c>
      <c r="F109" s="907">
        <v>0</v>
      </c>
      <c r="G109" s="907">
        <v>0</v>
      </c>
      <c r="H109" s="907">
        <v>0</v>
      </c>
      <c r="I109" s="907">
        <v>0</v>
      </c>
      <c r="J109" s="907">
        <v>0</v>
      </c>
      <c r="K109" s="905">
        <v>0</v>
      </c>
      <c r="L109" s="907">
        <v>0</v>
      </c>
      <c r="M109" s="907">
        <v>0</v>
      </c>
      <c r="N109" s="907">
        <v>0</v>
      </c>
      <c r="O109" s="907">
        <v>0</v>
      </c>
      <c r="P109" s="333"/>
      <c r="S109" s="277"/>
      <c r="T109" s="277"/>
      <c r="U109" s="303"/>
      <c r="V109" s="303"/>
      <c r="W109" s="303"/>
      <c r="X109" s="304"/>
      <c r="Y109" s="304"/>
      <c r="Z109" s="304"/>
      <c r="AA109" s="304"/>
      <c r="AB109" s="303"/>
      <c r="AC109" s="303"/>
      <c r="AD109" s="277"/>
      <c r="AE109" s="277"/>
      <c r="AF109" s="277"/>
      <c r="AG109" s="277"/>
      <c r="AH109" s="277"/>
      <c r="AI109" s="277"/>
      <c r="AJ109" s="216"/>
      <c r="AK109" s="304"/>
      <c r="AL109" s="303"/>
      <c r="AM109" s="216"/>
      <c r="AN109" s="304"/>
      <c r="AO109" s="277"/>
      <c r="AP109" s="303"/>
      <c r="AQ109" s="303"/>
      <c r="AR109" s="304"/>
      <c r="AS109" s="303"/>
      <c r="AT109" s="303"/>
      <c r="AU109" s="303"/>
      <c r="AV109" s="303"/>
      <c r="AW109" s="213"/>
      <c r="AX109" s="213"/>
      <c r="AY109" s="213"/>
      <c r="AZ109" s="213"/>
      <c r="BA109" s="213"/>
      <c r="BB109" s="213"/>
      <c r="BC109" s="213"/>
      <c r="BD109" s="213"/>
      <c r="BE109" s="213"/>
      <c r="BF109" s="213"/>
      <c r="BG109" s="213"/>
      <c r="BH109" s="213"/>
      <c r="BI109" s="213"/>
      <c r="BJ109" s="213"/>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row>
    <row r="110" spans="1:243" ht="15.6">
      <c r="A110" s="170">
        <f t="shared" si="29"/>
        <v>69</v>
      </c>
      <c r="B110" s="327">
        <v>315</v>
      </c>
      <c r="C110" s="287"/>
      <c r="D110" s="905">
        <v>0</v>
      </c>
      <c r="E110" s="907">
        <v>0</v>
      </c>
      <c r="F110" s="907">
        <v>0</v>
      </c>
      <c r="G110" s="907">
        <v>0</v>
      </c>
      <c r="H110" s="907">
        <v>0</v>
      </c>
      <c r="I110" s="907">
        <v>0</v>
      </c>
      <c r="J110" s="907">
        <v>0</v>
      </c>
      <c r="K110" s="905">
        <v>0</v>
      </c>
      <c r="L110" s="907">
        <v>0</v>
      </c>
      <c r="M110" s="907">
        <v>0</v>
      </c>
      <c r="N110" s="907">
        <v>0</v>
      </c>
      <c r="O110" s="907">
        <v>0</v>
      </c>
      <c r="P110" s="333"/>
      <c r="S110" s="277"/>
      <c r="T110" s="277"/>
      <c r="U110" s="303"/>
      <c r="V110" s="303"/>
      <c r="W110" s="304"/>
      <c r="X110" s="304"/>
      <c r="Y110" s="304"/>
      <c r="Z110" s="304"/>
      <c r="AA110" s="304"/>
      <c r="AB110" s="303"/>
      <c r="AC110" s="303"/>
      <c r="AD110" s="277"/>
      <c r="AE110" s="277"/>
      <c r="AF110" s="277"/>
      <c r="AG110" s="277"/>
      <c r="AH110" s="277"/>
      <c r="AI110" s="277"/>
      <c r="AJ110" s="216"/>
      <c r="AK110" s="304"/>
      <c r="AL110" s="303"/>
      <c r="AM110" s="216"/>
      <c r="AN110" s="304"/>
      <c r="AO110" s="277"/>
      <c r="AP110" s="303"/>
      <c r="AQ110" s="303"/>
      <c r="AR110" s="304"/>
      <c r="AS110" s="303"/>
      <c r="AT110" s="303"/>
      <c r="AU110" s="303"/>
      <c r="AV110" s="303"/>
      <c r="AW110" s="213"/>
      <c r="AX110" s="213"/>
      <c r="AY110" s="213"/>
      <c r="AZ110" s="213"/>
      <c r="BA110" s="213"/>
      <c r="BB110" s="213"/>
      <c r="BC110" s="213"/>
      <c r="BD110" s="213"/>
      <c r="BE110" s="213"/>
      <c r="BF110" s="213"/>
      <c r="BG110" s="213"/>
      <c r="BH110" s="213"/>
      <c r="BI110" s="213"/>
      <c r="BJ110" s="213"/>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row>
    <row r="111" spans="1:243" ht="15.6">
      <c r="A111" s="170">
        <f t="shared" si="29"/>
        <v>70</v>
      </c>
      <c r="B111" s="327">
        <v>316</v>
      </c>
      <c r="C111" s="287"/>
      <c r="D111" s="905">
        <v>0</v>
      </c>
      <c r="E111" s="907">
        <v>0</v>
      </c>
      <c r="F111" s="907">
        <v>0</v>
      </c>
      <c r="G111" s="907">
        <v>0</v>
      </c>
      <c r="H111" s="907">
        <v>0</v>
      </c>
      <c r="I111" s="907">
        <v>0</v>
      </c>
      <c r="J111" s="907">
        <v>0</v>
      </c>
      <c r="K111" s="905">
        <v>0</v>
      </c>
      <c r="L111" s="907">
        <v>0</v>
      </c>
      <c r="M111" s="907">
        <v>0</v>
      </c>
      <c r="N111" s="907">
        <v>0</v>
      </c>
      <c r="O111" s="907">
        <v>0</v>
      </c>
      <c r="P111" s="333"/>
      <c r="S111" s="277"/>
      <c r="T111" s="277"/>
      <c r="U111" s="303"/>
      <c r="V111" s="303"/>
      <c r="W111" s="312"/>
      <c r="X111" s="312"/>
      <c r="Y111" s="304"/>
      <c r="Z111" s="304"/>
      <c r="AA111" s="304"/>
      <c r="AB111" s="303"/>
      <c r="AC111" s="303"/>
      <c r="AD111" s="277"/>
      <c r="AE111" s="277"/>
      <c r="AF111" s="277"/>
      <c r="AG111" s="277"/>
      <c r="AH111" s="277"/>
      <c r="AI111" s="277"/>
      <c r="AJ111" s="216"/>
      <c r="AK111" s="304"/>
      <c r="AL111" s="303"/>
      <c r="AM111" s="216"/>
      <c r="AN111" s="304"/>
      <c r="AO111" s="277"/>
      <c r="AP111" s="303"/>
      <c r="AQ111" s="303"/>
      <c r="AR111" s="304"/>
      <c r="AS111" s="303"/>
      <c r="AT111" s="303"/>
      <c r="AU111" s="303"/>
      <c r="AV111" s="303"/>
      <c r="AW111" s="213"/>
      <c r="AX111" s="213"/>
      <c r="AY111" s="213"/>
      <c r="AZ111" s="213"/>
      <c r="BA111" s="213"/>
      <c r="BB111" s="213"/>
      <c r="BC111" s="213"/>
      <c r="BD111" s="213"/>
      <c r="BE111" s="213"/>
      <c r="BF111" s="213"/>
      <c r="BG111" s="213"/>
      <c r="BH111" s="213"/>
      <c r="BI111" s="213"/>
      <c r="BJ111" s="213"/>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row>
    <row r="112" spans="1:243" ht="15.6">
      <c r="A112" s="355"/>
      <c r="B112" s="336"/>
      <c r="C112" s="287"/>
      <c r="D112" s="287"/>
      <c r="E112" s="287"/>
      <c r="F112" s="287"/>
      <c r="G112" s="287"/>
      <c r="H112" s="287"/>
      <c r="I112" s="287"/>
      <c r="J112" s="287"/>
      <c r="K112" s="334"/>
      <c r="L112" s="287"/>
      <c r="M112" s="287"/>
      <c r="N112" s="287"/>
      <c r="O112" s="287"/>
      <c r="P112" s="339"/>
      <c r="S112" s="277"/>
      <c r="T112" s="277"/>
      <c r="U112" s="303"/>
      <c r="V112" s="303"/>
      <c r="W112" s="304"/>
      <c r="X112" s="304"/>
      <c r="Y112" s="304"/>
      <c r="Z112" s="304"/>
      <c r="AA112" s="304"/>
      <c r="AB112" s="303"/>
      <c r="AC112" s="303"/>
      <c r="AD112" s="277"/>
      <c r="AE112" s="277"/>
      <c r="AF112" s="277"/>
      <c r="AG112" s="277"/>
      <c r="AH112" s="277"/>
      <c r="AI112" s="277"/>
      <c r="AJ112" s="216"/>
      <c r="AK112" s="304"/>
      <c r="AL112" s="303"/>
      <c r="AM112" s="216"/>
      <c r="AN112" s="304"/>
      <c r="AO112" s="277"/>
      <c r="AP112" s="303"/>
      <c r="AQ112" s="303"/>
      <c r="AR112" s="304"/>
      <c r="AS112" s="303"/>
      <c r="AT112" s="303"/>
      <c r="AU112" s="303"/>
      <c r="AV112" s="303"/>
      <c r="AW112" s="213"/>
      <c r="AX112" s="213"/>
      <c r="AY112" s="213"/>
      <c r="AZ112" s="213"/>
      <c r="BA112" s="213"/>
      <c r="BB112" s="213"/>
      <c r="BC112" s="213"/>
      <c r="BD112" s="213"/>
      <c r="BE112" s="213"/>
      <c r="BF112" s="213"/>
      <c r="BG112" s="213"/>
      <c r="BH112" s="213"/>
      <c r="BI112" s="213"/>
      <c r="BJ112" s="213"/>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row>
    <row r="113" spans="1:243" ht="18.600000000000001">
      <c r="A113" s="355"/>
      <c r="B113" s="355" t="s">
        <v>1078</v>
      </c>
      <c r="C113" s="334" t="s">
        <v>727</v>
      </c>
      <c r="D113" s="1778" t="s">
        <v>728</v>
      </c>
      <c r="E113" s="1779"/>
      <c r="F113" s="1779"/>
      <c r="G113" s="1779"/>
      <c r="H113" s="1779"/>
      <c r="I113" s="1779"/>
      <c r="J113" s="1779"/>
      <c r="K113" s="1779"/>
      <c r="L113" s="1779"/>
      <c r="M113" s="1779"/>
      <c r="N113" s="1779"/>
      <c r="O113" s="1779"/>
      <c r="P113" s="1779"/>
      <c r="S113" s="277"/>
      <c r="T113" s="277"/>
      <c r="U113" s="303"/>
      <c r="V113" s="303"/>
      <c r="W113" s="303"/>
      <c r="X113" s="304"/>
      <c r="Y113" s="304"/>
      <c r="Z113" s="304"/>
      <c r="AA113" s="304"/>
      <c r="AB113" s="303"/>
      <c r="AC113" s="303"/>
      <c r="AD113" s="277"/>
      <c r="AE113" s="277"/>
      <c r="AF113" s="277"/>
      <c r="AG113" s="277"/>
      <c r="AH113" s="277"/>
      <c r="AI113" s="277"/>
      <c r="AJ113" s="216"/>
      <c r="AK113" s="304"/>
      <c r="AL113" s="303"/>
      <c r="AM113" s="216"/>
      <c r="AN113" s="304"/>
      <c r="AO113" s="277"/>
      <c r="AP113" s="303"/>
      <c r="AQ113" s="303"/>
      <c r="AR113" s="304"/>
      <c r="AS113" s="303"/>
      <c r="AT113" s="303"/>
      <c r="AU113" s="303"/>
      <c r="AV113" s="303"/>
      <c r="AW113" s="213"/>
      <c r="AX113" s="213"/>
      <c r="AY113" s="213"/>
      <c r="AZ113" s="213"/>
      <c r="BA113" s="213"/>
      <c r="BB113" s="213"/>
      <c r="BC113" s="213"/>
      <c r="BD113" s="213"/>
      <c r="BE113" s="213"/>
      <c r="BF113" s="213"/>
      <c r="BG113" s="213"/>
      <c r="BH113" s="213"/>
      <c r="BI113" s="213"/>
      <c r="BJ113" s="2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row>
    <row r="114" spans="1:243" ht="18.600000000000001">
      <c r="A114" s="322"/>
      <c r="B114" s="322" t="s">
        <v>928</v>
      </c>
      <c r="C114" s="335" t="s">
        <v>729</v>
      </c>
      <c r="D114" s="358" t="s">
        <v>716</v>
      </c>
      <c r="E114" s="358" t="s">
        <v>717</v>
      </c>
      <c r="F114" s="358" t="s">
        <v>718</v>
      </c>
      <c r="G114" s="358" t="s">
        <v>719</v>
      </c>
      <c r="H114" s="358" t="s">
        <v>720</v>
      </c>
      <c r="I114" s="358" t="s">
        <v>721</v>
      </c>
      <c r="J114" s="358" t="s">
        <v>722</v>
      </c>
      <c r="K114" s="358" t="s">
        <v>723</v>
      </c>
      <c r="L114" s="358" t="s">
        <v>724</v>
      </c>
      <c r="M114" s="358" t="s">
        <v>725</v>
      </c>
      <c r="N114" s="358" t="s">
        <v>726</v>
      </c>
      <c r="O114" s="358" t="s">
        <v>715</v>
      </c>
      <c r="P114" s="360" t="s">
        <v>468</v>
      </c>
      <c r="S114" s="277"/>
      <c r="T114" s="277"/>
      <c r="U114" s="303"/>
      <c r="V114" s="303"/>
      <c r="W114" s="303"/>
      <c r="X114" s="304"/>
      <c r="Y114" s="304"/>
      <c r="Z114" s="304"/>
      <c r="AA114" s="304"/>
      <c r="AB114" s="303"/>
      <c r="AC114" s="303"/>
      <c r="AD114" s="277"/>
      <c r="AE114" s="277"/>
      <c r="AF114" s="277"/>
      <c r="AG114" s="277"/>
      <c r="AH114" s="277"/>
      <c r="AI114" s="277"/>
      <c r="AJ114" s="216"/>
      <c r="AK114" s="304"/>
      <c r="AL114" s="303"/>
      <c r="AM114" s="216"/>
      <c r="AN114" s="304"/>
      <c r="AO114" s="277"/>
      <c r="AP114" s="303"/>
      <c r="AQ114" s="303"/>
      <c r="AR114" s="304"/>
      <c r="AS114" s="303"/>
      <c r="AT114" s="303"/>
      <c r="AU114" s="303"/>
      <c r="AV114" s="303"/>
      <c r="AW114" s="213"/>
      <c r="AX114" s="213"/>
      <c r="AY114" s="213"/>
      <c r="AZ114" s="213"/>
      <c r="BA114" s="213"/>
      <c r="BB114" s="213"/>
      <c r="BC114" s="213"/>
      <c r="BD114" s="213"/>
      <c r="BE114" s="213"/>
      <c r="BF114" s="213"/>
      <c r="BG114" s="213"/>
      <c r="BH114" s="213"/>
      <c r="BI114" s="213"/>
      <c r="BJ114" s="213"/>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row>
    <row r="115" spans="1:243" ht="15.6">
      <c r="A115" s="170">
        <f>A111+1</f>
        <v>71</v>
      </c>
      <c r="B115" s="327">
        <f>B105</f>
        <v>311</v>
      </c>
      <c r="C115" s="906"/>
      <c r="D115" s="603">
        <f>D105*$C115/100/12</f>
        <v>0</v>
      </c>
      <c r="E115" s="603">
        <f t="shared" ref="E115:O115" si="30">E105*$C115/100/12</f>
        <v>0</v>
      </c>
      <c r="F115" s="603">
        <f t="shared" si="30"/>
        <v>0</v>
      </c>
      <c r="G115" s="603">
        <f t="shared" si="30"/>
        <v>0</v>
      </c>
      <c r="H115" s="603">
        <f t="shared" si="30"/>
        <v>0</v>
      </c>
      <c r="I115" s="603">
        <f t="shared" si="30"/>
        <v>0</v>
      </c>
      <c r="J115" s="603">
        <f t="shared" si="30"/>
        <v>0</v>
      </c>
      <c r="K115" s="603">
        <f t="shared" si="30"/>
        <v>0</v>
      </c>
      <c r="L115" s="603">
        <f t="shared" si="30"/>
        <v>0</v>
      </c>
      <c r="M115" s="603">
        <f t="shared" si="30"/>
        <v>0</v>
      </c>
      <c r="N115" s="603">
        <f t="shared" si="30"/>
        <v>0</v>
      </c>
      <c r="O115" s="603">
        <f t="shared" si="30"/>
        <v>0</v>
      </c>
      <c r="P115" s="333">
        <f>SUM(D115:O115)</f>
        <v>0</v>
      </c>
      <c r="S115" s="277"/>
      <c r="T115" s="277"/>
      <c r="U115" s="303"/>
      <c r="V115" s="303"/>
      <c r="W115" s="303"/>
      <c r="X115" s="304"/>
      <c r="Y115" s="304"/>
      <c r="Z115" s="304"/>
      <c r="AA115" s="304"/>
      <c r="AB115" s="303"/>
      <c r="AC115" s="303"/>
      <c r="AD115" s="277"/>
      <c r="AE115" s="277"/>
      <c r="AF115" s="277"/>
      <c r="AG115" s="277"/>
      <c r="AH115" s="277"/>
      <c r="AI115" s="277"/>
      <c r="AJ115" s="216"/>
      <c r="AK115" s="304"/>
      <c r="AL115" s="303"/>
      <c r="AM115" s="216"/>
      <c r="AN115" s="304"/>
      <c r="AO115" s="277"/>
      <c r="AP115" s="303"/>
      <c r="AQ115" s="303"/>
      <c r="AR115" s="304"/>
      <c r="AS115" s="303"/>
      <c r="AT115" s="303"/>
      <c r="AU115" s="303"/>
      <c r="AV115" s="303"/>
      <c r="AW115" s="213"/>
      <c r="AX115" s="213"/>
      <c r="AY115" s="213"/>
      <c r="AZ115" s="213"/>
      <c r="BA115" s="213"/>
      <c r="BB115" s="213"/>
      <c r="BC115" s="213"/>
      <c r="BD115" s="213"/>
      <c r="BE115" s="213"/>
      <c r="BF115" s="213"/>
      <c r="BG115" s="213"/>
      <c r="BH115" s="213"/>
      <c r="BI115" s="213"/>
      <c r="BJ115" s="213"/>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row>
    <row r="116" spans="1:243" ht="15.6">
      <c r="A116" s="170">
        <f t="shared" ref="A116:A121" si="31">A115+1</f>
        <v>72</v>
      </c>
      <c r="B116" s="327">
        <f t="shared" ref="B116:B121" si="32">B106</f>
        <v>312</v>
      </c>
      <c r="C116" s="906"/>
      <c r="D116" s="603">
        <f t="shared" ref="D116:O121" si="33">D106*$C116/100/12</f>
        <v>0</v>
      </c>
      <c r="E116" s="603">
        <f t="shared" si="33"/>
        <v>0</v>
      </c>
      <c r="F116" s="603">
        <f t="shared" si="33"/>
        <v>0</v>
      </c>
      <c r="G116" s="603">
        <f t="shared" si="33"/>
        <v>0</v>
      </c>
      <c r="H116" s="603">
        <f t="shared" si="33"/>
        <v>0</v>
      </c>
      <c r="I116" s="603">
        <f t="shared" si="33"/>
        <v>0</v>
      </c>
      <c r="J116" s="603">
        <f t="shared" si="33"/>
        <v>0</v>
      </c>
      <c r="K116" s="603">
        <f t="shared" si="33"/>
        <v>0</v>
      </c>
      <c r="L116" s="603">
        <f t="shared" si="33"/>
        <v>0</v>
      </c>
      <c r="M116" s="603">
        <f t="shared" si="33"/>
        <v>0</v>
      </c>
      <c r="N116" s="603">
        <f t="shared" si="33"/>
        <v>0</v>
      </c>
      <c r="O116" s="603">
        <f t="shared" si="33"/>
        <v>0</v>
      </c>
      <c r="P116" s="333">
        <f t="shared" ref="P116:P121" si="34">SUM(D116:O116)</f>
        <v>0</v>
      </c>
      <c r="S116" s="277"/>
      <c r="T116" s="277"/>
      <c r="U116" s="303"/>
      <c r="V116" s="303"/>
      <c r="W116" s="303"/>
      <c r="X116" s="304"/>
      <c r="Y116" s="304"/>
      <c r="Z116" s="304"/>
      <c r="AA116" s="304"/>
      <c r="AB116" s="303"/>
      <c r="AC116" s="303"/>
      <c r="AD116" s="277"/>
      <c r="AE116" s="277"/>
      <c r="AF116" s="277"/>
      <c r="AG116" s="277"/>
      <c r="AH116" s="277"/>
      <c r="AI116" s="277"/>
      <c r="AJ116" s="216"/>
      <c r="AK116" s="304"/>
      <c r="AL116" s="303"/>
      <c r="AM116" s="216"/>
      <c r="AN116" s="304"/>
      <c r="AO116" s="277"/>
      <c r="AP116" s="303"/>
      <c r="AQ116" s="303"/>
      <c r="AR116" s="304"/>
      <c r="AS116" s="303"/>
      <c r="AT116" s="303"/>
      <c r="AU116" s="303"/>
      <c r="AV116" s="303"/>
      <c r="AW116" s="213"/>
      <c r="AX116" s="213"/>
      <c r="AY116" s="213"/>
      <c r="AZ116" s="213"/>
      <c r="BA116" s="213"/>
      <c r="BB116" s="213"/>
      <c r="BC116" s="213"/>
      <c r="BD116" s="213"/>
      <c r="BE116" s="213"/>
      <c r="BF116" s="213"/>
      <c r="BG116" s="213"/>
      <c r="BH116" s="213"/>
      <c r="BI116" s="213"/>
      <c r="BJ116" s="213"/>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row>
    <row r="117" spans="1:243" ht="15.6">
      <c r="A117" s="170">
        <f t="shared" si="31"/>
        <v>73</v>
      </c>
      <c r="B117" s="327">
        <f t="shared" si="32"/>
        <v>312.10000000000002</v>
      </c>
      <c r="C117" s="908"/>
      <c r="D117" s="603">
        <f t="shared" si="33"/>
        <v>0</v>
      </c>
      <c r="E117" s="603">
        <f t="shared" si="33"/>
        <v>0</v>
      </c>
      <c r="F117" s="603">
        <f t="shared" si="33"/>
        <v>0</v>
      </c>
      <c r="G117" s="603">
        <f t="shared" si="33"/>
        <v>0</v>
      </c>
      <c r="H117" s="603">
        <f t="shared" si="33"/>
        <v>0</v>
      </c>
      <c r="I117" s="603">
        <f t="shared" si="33"/>
        <v>0</v>
      </c>
      <c r="J117" s="603">
        <f t="shared" si="33"/>
        <v>0</v>
      </c>
      <c r="K117" s="603">
        <f t="shared" si="33"/>
        <v>0</v>
      </c>
      <c r="L117" s="603">
        <f t="shared" si="33"/>
        <v>0</v>
      </c>
      <c r="M117" s="603">
        <f t="shared" si="33"/>
        <v>0</v>
      </c>
      <c r="N117" s="603">
        <f t="shared" si="33"/>
        <v>0</v>
      </c>
      <c r="O117" s="603">
        <f t="shared" si="33"/>
        <v>0</v>
      </c>
      <c r="P117" s="333">
        <f t="shared" si="34"/>
        <v>0</v>
      </c>
      <c r="S117" s="277"/>
      <c r="T117" s="277"/>
      <c r="U117" s="303"/>
      <c r="V117" s="303"/>
      <c r="W117" s="303"/>
      <c r="X117" s="304"/>
      <c r="Y117" s="304"/>
      <c r="Z117" s="304"/>
      <c r="AA117" s="304"/>
      <c r="AB117" s="303"/>
      <c r="AC117" s="303"/>
      <c r="AD117" s="277"/>
      <c r="AE117" s="277"/>
      <c r="AF117" s="277"/>
      <c r="AG117" s="277"/>
      <c r="AH117" s="277"/>
      <c r="AI117" s="277"/>
      <c r="AJ117" s="216"/>
      <c r="AK117" s="304"/>
      <c r="AL117" s="303"/>
      <c r="AM117" s="216"/>
      <c r="AN117" s="304"/>
      <c r="AO117" s="277"/>
      <c r="AP117" s="303"/>
      <c r="AQ117" s="303"/>
      <c r="AR117" s="304"/>
      <c r="AS117" s="303"/>
      <c r="AT117" s="303"/>
      <c r="AU117" s="303"/>
      <c r="AV117" s="303"/>
      <c r="AW117" s="213"/>
      <c r="AX117" s="213"/>
      <c r="AY117" s="213"/>
      <c r="AZ117" s="213"/>
      <c r="BA117" s="213"/>
      <c r="BB117" s="213"/>
      <c r="BC117" s="213"/>
      <c r="BD117" s="213"/>
      <c r="BE117" s="213"/>
      <c r="BF117" s="213"/>
      <c r="BG117" s="213"/>
      <c r="BH117" s="213"/>
      <c r="BI117" s="213"/>
      <c r="BJ117" s="213"/>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row>
    <row r="118" spans="1:243" ht="15.6">
      <c r="A118" s="170">
        <f t="shared" si="31"/>
        <v>74</v>
      </c>
      <c r="B118" s="327">
        <f t="shared" si="32"/>
        <v>312.2</v>
      </c>
      <c r="C118" s="908"/>
      <c r="D118" s="603">
        <f t="shared" si="33"/>
        <v>0</v>
      </c>
      <c r="E118" s="603">
        <f t="shared" si="33"/>
        <v>0</v>
      </c>
      <c r="F118" s="603">
        <f t="shared" si="33"/>
        <v>0</v>
      </c>
      <c r="G118" s="603">
        <f t="shared" si="33"/>
        <v>0</v>
      </c>
      <c r="H118" s="603">
        <f t="shared" si="33"/>
        <v>0</v>
      </c>
      <c r="I118" s="603">
        <f t="shared" si="33"/>
        <v>0</v>
      </c>
      <c r="J118" s="603">
        <f t="shared" si="33"/>
        <v>0</v>
      </c>
      <c r="K118" s="603">
        <f t="shared" si="33"/>
        <v>0</v>
      </c>
      <c r="L118" s="603">
        <f t="shared" si="33"/>
        <v>0</v>
      </c>
      <c r="M118" s="603">
        <f t="shared" si="33"/>
        <v>0</v>
      </c>
      <c r="N118" s="603">
        <f t="shared" si="33"/>
        <v>0</v>
      </c>
      <c r="O118" s="603">
        <f t="shared" si="33"/>
        <v>0</v>
      </c>
      <c r="P118" s="333">
        <f t="shared" si="34"/>
        <v>0</v>
      </c>
      <c r="S118" s="277"/>
      <c r="T118" s="277"/>
      <c r="U118" s="303"/>
      <c r="V118" s="303"/>
      <c r="W118" s="303"/>
      <c r="X118" s="304"/>
      <c r="Y118" s="303"/>
      <c r="Z118" s="303"/>
      <c r="AA118" s="303"/>
      <c r="AB118" s="303"/>
      <c r="AC118" s="303"/>
      <c r="AD118" s="277"/>
      <c r="AE118" s="277"/>
      <c r="AF118" s="277"/>
      <c r="AG118" s="277"/>
      <c r="AH118" s="277"/>
      <c r="AI118" s="277"/>
      <c r="AJ118" s="216"/>
      <c r="AK118" s="304"/>
      <c r="AL118" s="303"/>
      <c r="AM118" s="216"/>
      <c r="AN118" s="304"/>
      <c r="AO118" s="277"/>
      <c r="AP118" s="303"/>
      <c r="AQ118" s="303"/>
      <c r="AR118" s="304"/>
      <c r="AS118" s="303"/>
      <c r="AT118" s="303"/>
      <c r="AU118" s="303"/>
      <c r="AV118" s="303"/>
      <c r="AW118" s="213"/>
      <c r="AX118" s="213"/>
      <c r="AY118" s="213"/>
      <c r="AZ118" s="213"/>
      <c r="BA118" s="213"/>
      <c r="BB118" s="213"/>
      <c r="BC118" s="213"/>
      <c r="BD118" s="213"/>
      <c r="BE118" s="213"/>
      <c r="BF118" s="213"/>
      <c r="BG118" s="213"/>
      <c r="BH118" s="213"/>
      <c r="BI118" s="213"/>
      <c r="BJ118" s="213"/>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row>
    <row r="119" spans="1:243" ht="15.6">
      <c r="A119" s="170">
        <f t="shared" si="31"/>
        <v>75</v>
      </c>
      <c r="B119" s="327">
        <f t="shared" si="32"/>
        <v>314</v>
      </c>
      <c r="C119" s="906"/>
      <c r="D119" s="603">
        <f t="shared" si="33"/>
        <v>0</v>
      </c>
      <c r="E119" s="603">
        <f t="shared" si="33"/>
        <v>0</v>
      </c>
      <c r="F119" s="603">
        <f t="shared" si="33"/>
        <v>0</v>
      </c>
      <c r="G119" s="603">
        <f t="shared" si="33"/>
        <v>0</v>
      </c>
      <c r="H119" s="603">
        <f t="shared" si="33"/>
        <v>0</v>
      </c>
      <c r="I119" s="603">
        <f t="shared" si="33"/>
        <v>0</v>
      </c>
      <c r="J119" s="603">
        <f t="shared" si="33"/>
        <v>0</v>
      </c>
      <c r="K119" s="603">
        <f t="shared" si="33"/>
        <v>0</v>
      </c>
      <c r="L119" s="603">
        <f t="shared" si="33"/>
        <v>0</v>
      </c>
      <c r="M119" s="603">
        <f t="shared" si="33"/>
        <v>0</v>
      </c>
      <c r="N119" s="603">
        <f t="shared" si="33"/>
        <v>0</v>
      </c>
      <c r="O119" s="603">
        <f t="shared" si="33"/>
        <v>0</v>
      </c>
      <c r="P119" s="333">
        <f t="shared" si="34"/>
        <v>0</v>
      </c>
      <c r="S119" s="277"/>
      <c r="T119" s="277"/>
      <c r="U119" s="303"/>
      <c r="V119" s="303"/>
      <c r="W119" s="303"/>
      <c r="X119" s="304"/>
      <c r="Y119" s="303"/>
      <c r="Z119" s="303"/>
      <c r="AA119" s="303"/>
      <c r="AB119" s="303"/>
      <c r="AC119" s="303"/>
      <c r="AD119" s="277"/>
      <c r="AE119" s="277"/>
      <c r="AF119" s="277"/>
      <c r="AG119" s="277"/>
      <c r="AH119" s="277"/>
      <c r="AI119" s="277"/>
      <c r="AJ119" s="216"/>
      <c r="AK119" s="304"/>
      <c r="AL119" s="303"/>
      <c r="AM119" s="216"/>
      <c r="AN119" s="304"/>
      <c r="AO119" s="277"/>
      <c r="AP119" s="303"/>
      <c r="AQ119" s="303"/>
      <c r="AR119" s="304"/>
      <c r="AS119" s="303"/>
      <c r="AT119" s="303"/>
      <c r="AU119" s="303"/>
      <c r="AV119" s="303"/>
      <c r="AW119" s="213"/>
      <c r="AX119" s="213"/>
      <c r="AY119" s="213"/>
      <c r="AZ119" s="213"/>
      <c r="BA119" s="213"/>
      <c r="BB119" s="213"/>
      <c r="BC119" s="213"/>
      <c r="BD119" s="213"/>
      <c r="BE119" s="213"/>
      <c r="BF119" s="213"/>
      <c r="BG119" s="213"/>
      <c r="BH119" s="213"/>
      <c r="BI119" s="213"/>
      <c r="BJ119" s="213"/>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row>
    <row r="120" spans="1:243" ht="15.6">
      <c r="A120" s="170">
        <f t="shared" si="31"/>
        <v>76</v>
      </c>
      <c r="B120" s="327">
        <f t="shared" si="32"/>
        <v>315</v>
      </c>
      <c r="C120" s="906"/>
      <c r="D120" s="603">
        <f t="shared" si="33"/>
        <v>0</v>
      </c>
      <c r="E120" s="603">
        <f t="shared" si="33"/>
        <v>0</v>
      </c>
      <c r="F120" s="603">
        <f t="shared" si="33"/>
        <v>0</v>
      </c>
      <c r="G120" s="603">
        <f t="shared" si="33"/>
        <v>0</v>
      </c>
      <c r="H120" s="603">
        <f t="shared" si="33"/>
        <v>0</v>
      </c>
      <c r="I120" s="603">
        <f t="shared" si="33"/>
        <v>0</v>
      </c>
      <c r="J120" s="603">
        <f t="shared" si="33"/>
        <v>0</v>
      </c>
      <c r="K120" s="603">
        <f t="shared" si="33"/>
        <v>0</v>
      </c>
      <c r="L120" s="603">
        <f t="shared" si="33"/>
        <v>0</v>
      </c>
      <c r="M120" s="603">
        <f t="shared" si="33"/>
        <v>0</v>
      </c>
      <c r="N120" s="603">
        <f t="shared" si="33"/>
        <v>0</v>
      </c>
      <c r="O120" s="603">
        <f t="shared" si="33"/>
        <v>0</v>
      </c>
      <c r="P120" s="333">
        <f t="shared" si="34"/>
        <v>0</v>
      </c>
      <c r="S120" s="277"/>
      <c r="T120" s="277"/>
      <c r="U120" s="303"/>
      <c r="V120" s="303"/>
      <c r="W120" s="303"/>
      <c r="X120" s="303"/>
      <c r="Y120" s="303"/>
      <c r="Z120" s="303"/>
      <c r="AA120" s="303"/>
      <c r="AB120" s="303"/>
      <c r="AC120" s="303"/>
      <c r="AD120" s="277"/>
      <c r="AE120" s="277"/>
      <c r="AF120" s="277"/>
      <c r="AG120" s="277"/>
      <c r="AH120" s="277"/>
      <c r="AI120" s="277"/>
      <c r="AJ120" s="216"/>
      <c r="AK120" s="304"/>
      <c r="AL120" s="303"/>
      <c r="AM120" s="216"/>
      <c r="AN120" s="304"/>
      <c r="AO120" s="277"/>
      <c r="AP120" s="303"/>
      <c r="AQ120" s="303"/>
      <c r="AR120" s="304"/>
      <c r="AS120" s="303"/>
      <c r="AT120" s="303"/>
      <c r="AU120" s="303"/>
      <c r="AV120" s="303"/>
      <c r="AW120" s="213"/>
      <c r="AX120" s="213"/>
      <c r="AY120" s="213"/>
      <c r="AZ120" s="213"/>
      <c r="BA120" s="213"/>
      <c r="BB120" s="213"/>
      <c r="BC120" s="213"/>
      <c r="BD120" s="213"/>
      <c r="BE120" s="213"/>
      <c r="BF120" s="213"/>
      <c r="BG120" s="213"/>
      <c r="BH120" s="213"/>
      <c r="BI120" s="213"/>
      <c r="BJ120" s="213"/>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row>
    <row r="121" spans="1:243" ht="15.6">
      <c r="A121" s="170">
        <f t="shared" si="31"/>
        <v>77</v>
      </c>
      <c r="B121" s="327">
        <f t="shared" si="32"/>
        <v>316</v>
      </c>
      <c r="C121" s="906"/>
      <c r="D121" s="603">
        <f t="shared" si="33"/>
        <v>0</v>
      </c>
      <c r="E121" s="603">
        <f t="shared" si="33"/>
        <v>0</v>
      </c>
      <c r="F121" s="603">
        <f t="shared" si="33"/>
        <v>0</v>
      </c>
      <c r="G121" s="603">
        <f t="shared" si="33"/>
        <v>0</v>
      </c>
      <c r="H121" s="603">
        <f t="shared" si="33"/>
        <v>0</v>
      </c>
      <c r="I121" s="603">
        <f t="shared" si="33"/>
        <v>0</v>
      </c>
      <c r="J121" s="603">
        <f t="shared" si="33"/>
        <v>0</v>
      </c>
      <c r="K121" s="603">
        <f t="shared" si="33"/>
        <v>0</v>
      </c>
      <c r="L121" s="603">
        <f t="shared" si="33"/>
        <v>0</v>
      </c>
      <c r="M121" s="603">
        <f t="shared" si="33"/>
        <v>0</v>
      </c>
      <c r="N121" s="603">
        <f t="shared" si="33"/>
        <v>0</v>
      </c>
      <c r="O121" s="603">
        <f t="shared" si="33"/>
        <v>0</v>
      </c>
      <c r="P121" s="361">
        <f t="shared" si="34"/>
        <v>0</v>
      </c>
      <c r="S121" s="277"/>
      <c r="T121" s="277"/>
      <c r="U121" s="303"/>
      <c r="V121" s="303"/>
      <c r="W121" s="303"/>
      <c r="X121" s="303"/>
      <c r="Y121" s="277"/>
      <c r="Z121" s="277"/>
      <c r="AA121" s="277"/>
      <c r="AB121" s="277"/>
      <c r="AC121" s="277"/>
      <c r="AD121" s="277"/>
      <c r="AE121" s="277"/>
      <c r="AF121" s="277"/>
      <c r="AG121" s="277"/>
      <c r="AH121" s="277"/>
      <c r="AI121" s="277"/>
      <c r="AJ121" s="216"/>
      <c r="AK121" s="304"/>
      <c r="AL121" s="303"/>
      <c r="AM121" s="216"/>
      <c r="AN121" s="304"/>
      <c r="AO121" s="277"/>
      <c r="AP121" s="303"/>
      <c r="AQ121" s="303"/>
      <c r="AR121" s="304"/>
      <c r="AS121" s="303"/>
      <c r="AT121" s="303"/>
      <c r="AU121" s="303"/>
      <c r="AV121" s="303"/>
      <c r="AW121" s="213"/>
      <c r="AX121" s="213"/>
      <c r="AY121" s="213"/>
      <c r="AZ121" s="213"/>
      <c r="BA121" s="213"/>
      <c r="BB121" s="213"/>
      <c r="BC121" s="213"/>
      <c r="BD121" s="213"/>
      <c r="BE121" s="213"/>
      <c r="BF121" s="213"/>
      <c r="BG121" s="213"/>
      <c r="BH121" s="213"/>
      <c r="BI121" s="213"/>
      <c r="BJ121" s="213"/>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row>
    <row r="122" spans="1:243" ht="15.6">
      <c r="A122" s="170"/>
      <c r="B122" s="327"/>
      <c r="C122" s="324"/>
      <c r="D122" s="328"/>
      <c r="E122" s="328"/>
      <c r="F122" s="328"/>
      <c r="G122" s="328"/>
      <c r="H122" s="328"/>
      <c r="I122" s="328"/>
      <c r="J122" s="328"/>
      <c r="K122" s="328"/>
      <c r="L122" s="328"/>
      <c r="M122" s="328"/>
      <c r="N122" s="328"/>
      <c r="O122" s="328"/>
      <c r="P122" s="362"/>
      <c r="S122" s="277"/>
      <c r="T122" s="277"/>
      <c r="U122" s="303"/>
      <c r="V122" s="303"/>
      <c r="W122" s="303"/>
      <c r="X122" s="303"/>
      <c r="Y122" s="277"/>
      <c r="Z122" s="277"/>
      <c r="AA122" s="277"/>
      <c r="AB122" s="277"/>
      <c r="AC122" s="277"/>
      <c r="AD122" s="277"/>
      <c r="AE122" s="277"/>
      <c r="AF122" s="277"/>
      <c r="AG122" s="277"/>
      <c r="AH122" s="277"/>
      <c r="AI122" s="277"/>
      <c r="AJ122" s="216"/>
      <c r="AK122" s="304"/>
      <c r="AL122" s="303"/>
      <c r="AM122" s="216"/>
      <c r="AN122" s="304"/>
      <c r="AO122" s="277"/>
      <c r="AP122" s="303"/>
      <c r="AQ122" s="303"/>
      <c r="AR122" s="304"/>
      <c r="AS122" s="303"/>
      <c r="AT122" s="303"/>
      <c r="AU122" s="303"/>
      <c r="AV122" s="303"/>
      <c r="AW122" s="213"/>
      <c r="AX122" s="213"/>
      <c r="AY122" s="213"/>
      <c r="AZ122" s="213"/>
      <c r="BA122" s="213"/>
      <c r="BB122" s="213"/>
      <c r="BC122" s="213"/>
      <c r="BD122" s="213"/>
      <c r="BE122" s="213"/>
      <c r="BF122" s="213"/>
      <c r="BG122" s="213"/>
      <c r="BH122" s="213"/>
      <c r="BI122" s="213"/>
      <c r="BJ122" s="213"/>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row>
    <row r="123" spans="1:243" ht="18.600000000000001">
      <c r="A123" s="355"/>
      <c r="B123" s="355" t="s">
        <v>1078</v>
      </c>
      <c r="C123" s="334" t="s">
        <v>730</v>
      </c>
      <c r="D123" s="1778" t="s">
        <v>731</v>
      </c>
      <c r="E123" s="1779"/>
      <c r="F123" s="1779"/>
      <c r="G123" s="1779"/>
      <c r="H123" s="1779"/>
      <c r="I123" s="1779"/>
      <c r="J123" s="1779"/>
      <c r="K123" s="1779"/>
      <c r="L123" s="1779"/>
      <c r="M123" s="1779"/>
      <c r="N123" s="1779"/>
      <c r="O123" s="1779"/>
      <c r="P123" s="1779"/>
      <c r="S123" s="277"/>
      <c r="T123" s="277"/>
      <c r="U123" s="277"/>
      <c r="V123" s="277"/>
      <c r="W123" s="277"/>
      <c r="X123" s="277"/>
      <c r="Y123" s="277"/>
      <c r="Z123" s="277"/>
      <c r="AA123" s="277"/>
      <c r="AB123" s="277"/>
      <c r="AC123" s="277"/>
      <c r="AD123" s="277"/>
      <c r="AE123" s="277"/>
      <c r="AF123" s="277"/>
      <c r="AG123" s="277"/>
      <c r="AH123" s="277"/>
      <c r="AI123" s="277"/>
      <c r="AJ123" s="216"/>
      <c r="AK123" s="304"/>
      <c r="AL123" s="303"/>
      <c r="AM123" s="216"/>
      <c r="AN123" s="304"/>
      <c r="AO123" s="277"/>
      <c r="AP123" s="303"/>
      <c r="AQ123" s="303"/>
      <c r="AR123" s="304"/>
      <c r="AS123" s="303"/>
      <c r="AT123" s="303"/>
      <c r="AU123" s="303"/>
      <c r="AV123" s="303"/>
      <c r="AW123" s="213"/>
      <c r="AX123" s="213"/>
      <c r="AY123" s="213"/>
      <c r="AZ123" s="213"/>
      <c r="BA123" s="213"/>
      <c r="BB123" s="213"/>
      <c r="BC123" s="213"/>
      <c r="BD123" s="213"/>
      <c r="BE123" s="213"/>
      <c r="BF123" s="213"/>
      <c r="BG123" s="213"/>
      <c r="BH123" s="213"/>
      <c r="BI123" s="213"/>
      <c r="BJ123" s="21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row>
    <row r="124" spans="1:243" ht="18.600000000000001">
      <c r="A124" s="355"/>
      <c r="B124" s="322" t="s">
        <v>928</v>
      </c>
      <c r="C124" s="335" t="s">
        <v>732</v>
      </c>
      <c r="D124" s="358" t="s">
        <v>716</v>
      </c>
      <c r="E124" s="358" t="s">
        <v>717</v>
      </c>
      <c r="F124" s="358" t="s">
        <v>718</v>
      </c>
      <c r="G124" s="358" t="s">
        <v>719</v>
      </c>
      <c r="H124" s="358" t="s">
        <v>720</v>
      </c>
      <c r="I124" s="358" t="s">
        <v>721</v>
      </c>
      <c r="J124" s="358" t="s">
        <v>722</v>
      </c>
      <c r="K124" s="358" t="s">
        <v>723</v>
      </c>
      <c r="L124" s="358" t="s">
        <v>724</v>
      </c>
      <c r="M124" s="358" t="s">
        <v>725</v>
      </c>
      <c r="N124" s="358" t="s">
        <v>726</v>
      </c>
      <c r="O124" s="358" t="s">
        <v>715</v>
      </c>
      <c r="P124" s="360" t="s">
        <v>628</v>
      </c>
      <c r="S124" s="277"/>
      <c r="T124" s="277"/>
      <c r="U124" s="277"/>
      <c r="V124" s="277"/>
      <c r="W124" s="277"/>
      <c r="X124" s="277"/>
      <c r="Y124" s="277"/>
      <c r="Z124" s="277"/>
      <c r="AA124" s="277"/>
      <c r="AB124" s="277"/>
      <c r="AC124" s="277"/>
      <c r="AD124" s="277"/>
      <c r="AE124" s="277"/>
      <c r="AF124" s="277"/>
      <c r="AG124" s="277"/>
      <c r="AH124" s="277"/>
      <c r="AI124" s="277"/>
      <c r="AJ124" s="216"/>
      <c r="AK124" s="304"/>
      <c r="AL124" s="303"/>
      <c r="AM124" s="216"/>
      <c r="AN124" s="304"/>
      <c r="AO124" s="277"/>
      <c r="AP124" s="303"/>
      <c r="AQ124" s="303"/>
      <c r="AR124" s="304"/>
      <c r="AS124" s="303"/>
      <c r="AT124" s="303"/>
      <c r="AU124" s="303"/>
      <c r="AV124" s="303"/>
      <c r="AW124" s="213"/>
      <c r="AX124" s="213"/>
      <c r="AY124" s="213"/>
      <c r="AZ124" s="213"/>
      <c r="BA124" s="213"/>
      <c r="BB124" s="213"/>
      <c r="BC124" s="213"/>
      <c r="BD124" s="213"/>
      <c r="BE124" s="213"/>
      <c r="BF124" s="213"/>
      <c r="BG124" s="213"/>
      <c r="BH124" s="213"/>
      <c r="BI124" s="213"/>
      <c r="BJ124" s="213"/>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row>
    <row r="125" spans="1:243" ht="15.6">
      <c r="A125" s="170">
        <f>A121+1</f>
        <v>78</v>
      </c>
      <c r="B125" s="327">
        <f>B105</f>
        <v>311</v>
      </c>
      <c r="C125" s="907">
        <v>0</v>
      </c>
      <c r="D125" s="603">
        <f t="shared" ref="D125:O131" si="35">C125+D115</f>
        <v>0</v>
      </c>
      <c r="E125" s="603">
        <f t="shared" si="35"/>
        <v>0</v>
      </c>
      <c r="F125" s="603">
        <f t="shared" si="35"/>
        <v>0</v>
      </c>
      <c r="G125" s="603">
        <f t="shared" si="35"/>
        <v>0</v>
      </c>
      <c r="H125" s="603">
        <f t="shared" si="35"/>
        <v>0</v>
      </c>
      <c r="I125" s="603">
        <f t="shared" si="35"/>
        <v>0</v>
      </c>
      <c r="J125" s="603">
        <f t="shared" si="35"/>
        <v>0</v>
      </c>
      <c r="K125" s="603">
        <f t="shared" si="35"/>
        <v>0</v>
      </c>
      <c r="L125" s="603">
        <f t="shared" si="35"/>
        <v>0</v>
      </c>
      <c r="M125" s="603">
        <f t="shared" si="35"/>
        <v>0</v>
      </c>
      <c r="N125" s="603">
        <f t="shared" si="35"/>
        <v>0</v>
      </c>
      <c r="O125" s="603">
        <f t="shared" si="35"/>
        <v>0</v>
      </c>
      <c r="P125" s="333">
        <f>O125</f>
        <v>0</v>
      </c>
      <c r="S125" s="277"/>
      <c r="T125" s="277"/>
      <c r="U125" s="277"/>
      <c r="V125" s="277"/>
      <c r="W125" s="277"/>
      <c r="X125" s="277"/>
      <c r="Y125" s="277"/>
      <c r="Z125" s="277"/>
      <c r="AA125" s="277"/>
      <c r="AB125" s="277"/>
      <c r="AC125" s="277"/>
      <c r="AD125" s="277"/>
      <c r="AE125" s="277"/>
      <c r="AF125" s="277"/>
      <c r="AG125" s="277"/>
      <c r="AH125" s="277"/>
      <c r="AI125" s="277"/>
      <c r="AJ125" s="216"/>
      <c r="AK125" s="304"/>
      <c r="AL125" s="303"/>
      <c r="AM125" s="216"/>
      <c r="AN125" s="304"/>
      <c r="AO125" s="277"/>
      <c r="AP125" s="303"/>
      <c r="AQ125" s="303"/>
      <c r="AR125" s="304"/>
      <c r="AS125" s="303"/>
      <c r="AT125" s="303"/>
      <c r="AU125" s="303"/>
      <c r="AV125" s="303"/>
      <c r="AW125" s="213"/>
      <c r="AX125" s="213"/>
      <c r="AY125" s="213"/>
      <c r="AZ125" s="213"/>
      <c r="BA125" s="213"/>
      <c r="BB125" s="213"/>
      <c r="BC125" s="213"/>
      <c r="BD125" s="213"/>
      <c r="BE125" s="213"/>
      <c r="BF125" s="213"/>
      <c r="BG125" s="213"/>
      <c r="BH125" s="213"/>
      <c r="BI125" s="213"/>
      <c r="BJ125" s="213"/>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row>
    <row r="126" spans="1:243" ht="15.6">
      <c r="A126" s="170">
        <f t="shared" ref="A126:A131" si="36">A125+1</f>
        <v>79</v>
      </c>
      <c r="B126" s="327">
        <f t="shared" ref="B126:B131" si="37">B106</f>
        <v>312</v>
      </c>
      <c r="C126" s="907">
        <v>0</v>
      </c>
      <c r="D126" s="603">
        <f t="shared" si="35"/>
        <v>0</v>
      </c>
      <c r="E126" s="603">
        <f t="shared" si="35"/>
        <v>0</v>
      </c>
      <c r="F126" s="603">
        <f t="shared" si="35"/>
        <v>0</v>
      </c>
      <c r="G126" s="603">
        <f t="shared" si="35"/>
        <v>0</v>
      </c>
      <c r="H126" s="603">
        <f t="shared" si="35"/>
        <v>0</v>
      </c>
      <c r="I126" s="603">
        <f t="shared" si="35"/>
        <v>0</v>
      </c>
      <c r="J126" s="603">
        <f t="shared" si="35"/>
        <v>0</v>
      </c>
      <c r="K126" s="603">
        <f t="shared" si="35"/>
        <v>0</v>
      </c>
      <c r="L126" s="603">
        <f t="shared" si="35"/>
        <v>0</v>
      </c>
      <c r="M126" s="603">
        <f t="shared" si="35"/>
        <v>0</v>
      </c>
      <c r="N126" s="603">
        <f t="shared" si="35"/>
        <v>0</v>
      </c>
      <c r="O126" s="603">
        <f t="shared" si="35"/>
        <v>0</v>
      </c>
      <c r="P126" s="333">
        <f t="shared" ref="P126:P131" si="38">O126</f>
        <v>0</v>
      </c>
      <c r="S126" s="277"/>
      <c r="T126" s="277"/>
      <c r="U126" s="277"/>
      <c r="V126" s="277"/>
      <c r="W126" s="277"/>
      <c r="X126" s="277"/>
      <c r="Y126" s="277"/>
      <c r="Z126" s="277"/>
      <c r="AA126" s="277"/>
      <c r="AB126" s="277"/>
      <c r="AC126" s="277"/>
      <c r="AD126" s="277"/>
      <c r="AE126" s="277"/>
      <c r="AF126" s="277"/>
      <c r="AG126" s="277"/>
      <c r="AH126" s="277"/>
      <c r="AI126" s="277"/>
      <c r="AJ126" s="216"/>
      <c r="AK126" s="304"/>
      <c r="AL126" s="303"/>
      <c r="AM126" s="216"/>
      <c r="AN126" s="304"/>
      <c r="AO126" s="277"/>
      <c r="AP126" s="303"/>
      <c r="AQ126" s="303"/>
      <c r="AR126" s="304"/>
      <c r="AS126" s="303"/>
      <c r="AT126" s="303"/>
      <c r="AU126" s="303"/>
      <c r="AV126" s="303"/>
      <c r="AW126" s="213"/>
      <c r="AX126" s="213"/>
      <c r="AY126" s="213"/>
      <c r="AZ126" s="213"/>
      <c r="BA126" s="213"/>
      <c r="BB126" s="213"/>
      <c r="BC126" s="213"/>
      <c r="BD126" s="213"/>
      <c r="BE126" s="213"/>
      <c r="BF126" s="213"/>
      <c r="BG126" s="213"/>
      <c r="BH126" s="213"/>
      <c r="BI126" s="213"/>
      <c r="BJ126" s="213"/>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row>
    <row r="127" spans="1:243" ht="15.6">
      <c r="A127" s="170">
        <f t="shared" si="36"/>
        <v>80</v>
      </c>
      <c r="B127" s="327">
        <f t="shared" si="37"/>
        <v>312.10000000000002</v>
      </c>
      <c r="C127" s="907">
        <v>0</v>
      </c>
      <c r="D127" s="603">
        <f t="shared" si="35"/>
        <v>0</v>
      </c>
      <c r="E127" s="603">
        <f t="shared" si="35"/>
        <v>0</v>
      </c>
      <c r="F127" s="603">
        <f t="shared" si="35"/>
        <v>0</v>
      </c>
      <c r="G127" s="603">
        <f t="shared" si="35"/>
        <v>0</v>
      </c>
      <c r="H127" s="603">
        <f t="shared" si="35"/>
        <v>0</v>
      </c>
      <c r="I127" s="603">
        <f t="shared" si="35"/>
        <v>0</v>
      </c>
      <c r="J127" s="603">
        <f t="shared" si="35"/>
        <v>0</v>
      </c>
      <c r="K127" s="603">
        <f t="shared" si="35"/>
        <v>0</v>
      </c>
      <c r="L127" s="603">
        <f t="shared" si="35"/>
        <v>0</v>
      </c>
      <c r="M127" s="603">
        <f t="shared" si="35"/>
        <v>0</v>
      </c>
      <c r="N127" s="603">
        <f t="shared" si="35"/>
        <v>0</v>
      </c>
      <c r="O127" s="603">
        <f t="shared" si="35"/>
        <v>0</v>
      </c>
      <c r="P127" s="333">
        <f t="shared" si="38"/>
        <v>0</v>
      </c>
      <c r="S127" s="277"/>
      <c r="T127" s="277"/>
      <c r="U127" s="277"/>
      <c r="V127" s="277"/>
      <c r="W127" s="277"/>
      <c r="X127" s="277"/>
      <c r="Y127" s="277"/>
      <c r="Z127" s="277"/>
      <c r="AA127" s="277"/>
      <c r="AB127" s="277"/>
      <c r="AC127" s="277"/>
      <c r="AD127" s="277"/>
      <c r="AE127" s="277"/>
      <c r="AF127" s="277"/>
      <c r="AG127" s="277"/>
      <c r="AH127" s="277"/>
      <c r="AI127" s="277"/>
      <c r="AJ127" s="216"/>
      <c r="AK127" s="304"/>
      <c r="AL127" s="303"/>
      <c r="AM127" s="216"/>
      <c r="AN127" s="304"/>
      <c r="AO127" s="277"/>
      <c r="AP127" s="303"/>
      <c r="AQ127" s="303"/>
      <c r="AR127" s="304"/>
      <c r="AS127" s="303"/>
      <c r="AT127" s="303"/>
      <c r="AU127" s="303"/>
      <c r="AV127" s="303"/>
      <c r="AW127" s="213"/>
      <c r="AX127" s="213"/>
      <c r="AY127" s="213"/>
      <c r="AZ127" s="213"/>
      <c r="BA127" s="213"/>
      <c r="BB127" s="213"/>
      <c r="BC127" s="213"/>
      <c r="BD127" s="213"/>
      <c r="BE127" s="213"/>
      <c r="BF127" s="213"/>
      <c r="BG127" s="213"/>
      <c r="BH127" s="213"/>
      <c r="BI127" s="213"/>
      <c r="BJ127" s="213"/>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row>
    <row r="128" spans="1:243" ht="15.6">
      <c r="A128" s="170">
        <f t="shared" si="36"/>
        <v>81</v>
      </c>
      <c r="B128" s="327">
        <f t="shared" si="37"/>
        <v>312.2</v>
      </c>
      <c r="C128" s="907">
        <v>0</v>
      </c>
      <c r="D128" s="603">
        <f t="shared" si="35"/>
        <v>0</v>
      </c>
      <c r="E128" s="603">
        <f t="shared" si="35"/>
        <v>0</v>
      </c>
      <c r="F128" s="603">
        <f t="shared" si="35"/>
        <v>0</v>
      </c>
      <c r="G128" s="603">
        <f t="shared" si="35"/>
        <v>0</v>
      </c>
      <c r="H128" s="603">
        <f t="shared" si="35"/>
        <v>0</v>
      </c>
      <c r="I128" s="603">
        <f t="shared" si="35"/>
        <v>0</v>
      </c>
      <c r="J128" s="603">
        <f t="shared" si="35"/>
        <v>0</v>
      </c>
      <c r="K128" s="603">
        <f t="shared" si="35"/>
        <v>0</v>
      </c>
      <c r="L128" s="603">
        <f t="shared" si="35"/>
        <v>0</v>
      </c>
      <c r="M128" s="603">
        <f t="shared" si="35"/>
        <v>0</v>
      </c>
      <c r="N128" s="603">
        <f t="shared" si="35"/>
        <v>0</v>
      </c>
      <c r="O128" s="603">
        <f t="shared" si="35"/>
        <v>0</v>
      </c>
      <c r="P128" s="333">
        <f t="shared" si="38"/>
        <v>0</v>
      </c>
      <c r="S128" s="277"/>
      <c r="T128" s="277"/>
      <c r="U128" s="277"/>
      <c r="V128" s="277"/>
      <c r="W128" s="277"/>
      <c r="X128" s="277"/>
      <c r="Y128" s="277"/>
      <c r="Z128" s="277"/>
      <c r="AA128" s="277"/>
      <c r="AB128" s="277"/>
      <c r="AC128" s="277"/>
      <c r="AD128" s="277"/>
      <c r="AE128" s="277"/>
      <c r="AF128" s="277"/>
      <c r="AG128" s="277"/>
      <c r="AH128" s="277"/>
      <c r="AI128" s="277"/>
      <c r="AJ128" s="216"/>
      <c r="AK128" s="304"/>
      <c r="AL128" s="303"/>
      <c r="AM128" s="216"/>
      <c r="AN128" s="304"/>
      <c r="AO128" s="277"/>
      <c r="AP128" s="303"/>
      <c r="AQ128" s="303"/>
      <c r="AR128" s="304"/>
      <c r="AS128" s="303"/>
      <c r="AT128" s="303"/>
      <c r="AU128" s="303"/>
      <c r="AV128" s="303"/>
      <c r="AW128" s="213"/>
      <c r="AX128" s="213"/>
      <c r="AY128" s="213"/>
      <c r="AZ128" s="213"/>
      <c r="BA128" s="213"/>
      <c r="BB128" s="213"/>
      <c r="BC128" s="213"/>
      <c r="BD128" s="213"/>
      <c r="BE128" s="213"/>
      <c r="BF128" s="213"/>
      <c r="BG128" s="213"/>
      <c r="BH128" s="213"/>
      <c r="BI128" s="213"/>
      <c r="BJ128" s="213"/>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row>
    <row r="129" spans="1:243" ht="15.6">
      <c r="A129" s="170">
        <f t="shared" si="36"/>
        <v>82</v>
      </c>
      <c r="B129" s="327">
        <f t="shared" si="37"/>
        <v>314</v>
      </c>
      <c r="C129" s="907">
        <v>0</v>
      </c>
      <c r="D129" s="603">
        <f t="shared" si="35"/>
        <v>0</v>
      </c>
      <c r="E129" s="603">
        <f t="shared" si="35"/>
        <v>0</v>
      </c>
      <c r="F129" s="603">
        <f t="shared" si="35"/>
        <v>0</v>
      </c>
      <c r="G129" s="603">
        <f t="shared" si="35"/>
        <v>0</v>
      </c>
      <c r="H129" s="603">
        <f t="shared" si="35"/>
        <v>0</v>
      </c>
      <c r="I129" s="603">
        <f t="shared" si="35"/>
        <v>0</v>
      </c>
      <c r="J129" s="603">
        <f t="shared" si="35"/>
        <v>0</v>
      </c>
      <c r="K129" s="603">
        <f t="shared" si="35"/>
        <v>0</v>
      </c>
      <c r="L129" s="603">
        <f t="shared" si="35"/>
        <v>0</v>
      </c>
      <c r="M129" s="603">
        <f t="shared" si="35"/>
        <v>0</v>
      </c>
      <c r="N129" s="603">
        <f t="shared" si="35"/>
        <v>0</v>
      </c>
      <c r="O129" s="603">
        <f t="shared" si="35"/>
        <v>0</v>
      </c>
      <c r="P129" s="333">
        <f t="shared" si="38"/>
        <v>0</v>
      </c>
      <c r="S129" s="277"/>
      <c r="T129" s="277"/>
      <c r="U129" s="277"/>
      <c r="V129" s="277"/>
      <c r="W129" s="277"/>
      <c r="X129" s="277"/>
      <c r="Y129" s="277"/>
      <c r="Z129" s="277"/>
      <c r="AA129" s="277"/>
      <c r="AB129" s="277"/>
      <c r="AC129" s="277"/>
      <c r="AD129" s="277"/>
      <c r="AE129" s="277"/>
      <c r="AF129" s="277"/>
      <c r="AG129" s="277"/>
      <c r="AH129" s="277"/>
      <c r="AI129" s="277"/>
      <c r="AJ129" s="216"/>
      <c r="AK129" s="304"/>
      <c r="AL129" s="303"/>
      <c r="AM129" s="216"/>
      <c r="AN129" s="304"/>
      <c r="AO129" s="277"/>
      <c r="AP129" s="303"/>
      <c r="AQ129" s="303"/>
      <c r="AR129" s="304"/>
      <c r="AS129" s="303"/>
      <c r="AT129" s="303"/>
      <c r="AU129" s="303"/>
      <c r="AV129" s="303"/>
      <c r="AW129" s="213"/>
      <c r="AX129" s="213"/>
      <c r="AY129" s="213"/>
      <c r="AZ129" s="213"/>
      <c r="BA129" s="213"/>
      <c r="BB129" s="213"/>
      <c r="BC129" s="213"/>
      <c r="BD129" s="213"/>
      <c r="BE129" s="213"/>
      <c r="BF129" s="213"/>
      <c r="BG129" s="213"/>
      <c r="BH129" s="213"/>
      <c r="BI129" s="213"/>
      <c r="BJ129" s="213"/>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row>
    <row r="130" spans="1:243" ht="15.6">
      <c r="A130" s="170">
        <f t="shared" si="36"/>
        <v>83</v>
      </c>
      <c r="B130" s="327">
        <f t="shared" si="37"/>
        <v>315</v>
      </c>
      <c r="C130" s="907">
        <v>0</v>
      </c>
      <c r="D130" s="603">
        <f t="shared" si="35"/>
        <v>0</v>
      </c>
      <c r="E130" s="603">
        <f t="shared" si="35"/>
        <v>0</v>
      </c>
      <c r="F130" s="603">
        <f t="shared" si="35"/>
        <v>0</v>
      </c>
      <c r="G130" s="603">
        <f t="shared" si="35"/>
        <v>0</v>
      </c>
      <c r="H130" s="603">
        <f t="shared" si="35"/>
        <v>0</v>
      </c>
      <c r="I130" s="603">
        <f t="shared" si="35"/>
        <v>0</v>
      </c>
      <c r="J130" s="603">
        <f t="shared" si="35"/>
        <v>0</v>
      </c>
      <c r="K130" s="603">
        <f t="shared" si="35"/>
        <v>0</v>
      </c>
      <c r="L130" s="603">
        <f t="shared" si="35"/>
        <v>0</v>
      </c>
      <c r="M130" s="603">
        <f t="shared" si="35"/>
        <v>0</v>
      </c>
      <c r="N130" s="603">
        <f t="shared" si="35"/>
        <v>0</v>
      </c>
      <c r="O130" s="603">
        <f t="shared" si="35"/>
        <v>0</v>
      </c>
      <c r="P130" s="333">
        <f t="shared" si="38"/>
        <v>0</v>
      </c>
      <c r="S130" s="277"/>
      <c r="T130" s="277"/>
      <c r="U130" s="277"/>
      <c r="V130" s="277"/>
      <c r="W130" s="277"/>
      <c r="X130" s="277"/>
      <c r="Y130" s="277"/>
      <c r="Z130" s="277"/>
      <c r="AA130" s="277"/>
      <c r="AB130" s="277"/>
      <c r="AC130" s="277"/>
      <c r="AD130" s="277"/>
      <c r="AE130" s="277"/>
      <c r="AF130" s="277"/>
      <c r="AG130" s="277"/>
      <c r="AH130" s="277"/>
      <c r="AI130" s="277"/>
      <c r="AJ130" s="216"/>
      <c r="AK130" s="304"/>
      <c r="AL130" s="303"/>
      <c r="AM130" s="216"/>
      <c r="AN130" s="304"/>
      <c r="AO130" s="277"/>
      <c r="AP130" s="303"/>
      <c r="AQ130" s="303"/>
      <c r="AR130" s="304"/>
      <c r="AS130" s="303"/>
      <c r="AT130" s="303"/>
      <c r="AU130" s="303"/>
      <c r="AV130" s="303"/>
      <c r="AW130" s="213"/>
      <c r="AX130" s="213"/>
      <c r="AY130" s="213"/>
      <c r="AZ130" s="213"/>
      <c r="BA130" s="213"/>
      <c r="BB130" s="213"/>
      <c r="BC130" s="213"/>
      <c r="BD130" s="213"/>
      <c r="BE130" s="213"/>
      <c r="BF130" s="213"/>
      <c r="BG130" s="213"/>
      <c r="BH130" s="213"/>
      <c r="BI130" s="213"/>
      <c r="BJ130" s="213"/>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row>
    <row r="131" spans="1:243" ht="15.6">
      <c r="A131" s="170">
        <f t="shared" si="36"/>
        <v>84</v>
      </c>
      <c r="B131" s="327">
        <f t="shared" si="37"/>
        <v>316</v>
      </c>
      <c r="C131" s="907">
        <v>0</v>
      </c>
      <c r="D131" s="603">
        <f t="shared" si="35"/>
        <v>0</v>
      </c>
      <c r="E131" s="603">
        <f t="shared" si="35"/>
        <v>0</v>
      </c>
      <c r="F131" s="603">
        <f t="shared" si="35"/>
        <v>0</v>
      </c>
      <c r="G131" s="603">
        <f t="shared" si="35"/>
        <v>0</v>
      </c>
      <c r="H131" s="603">
        <f t="shared" si="35"/>
        <v>0</v>
      </c>
      <c r="I131" s="603">
        <f t="shared" si="35"/>
        <v>0</v>
      </c>
      <c r="J131" s="603">
        <f t="shared" si="35"/>
        <v>0</v>
      </c>
      <c r="K131" s="603">
        <f t="shared" si="35"/>
        <v>0</v>
      </c>
      <c r="L131" s="603">
        <f t="shared" si="35"/>
        <v>0</v>
      </c>
      <c r="M131" s="603">
        <f t="shared" si="35"/>
        <v>0</v>
      </c>
      <c r="N131" s="603">
        <f t="shared" si="35"/>
        <v>0</v>
      </c>
      <c r="O131" s="603">
        <f t="shared" si="35"/>
        <v>0</v>
      </c>
      <c r="P131" s="333">
        <f t="shared" si="38"/>
        <v>0</v>
      </c>
      <c r="S131" s="277"/>
      <c r="T131" s="277"/>
      <c r="U131" s="277"/>
      <c r="V131" s="277"/>
      <c r="W131" s="277"/>
      <c r="X131" s="277"/>
      <c r="Y131" s="277"/>
      <c r="Z131" s="277"/>
      <c r="AA131" s="277"/>
      <c r="AB131" s="277"/>
      <c r="AC131" s="277"/>
      <c r="AD131" s="277"/>
      <c r="AE131" s="277"/>
      <c r="AF131" s="277"/>
      <c r="AG131" s="277"/>
      <c r="AH131" s="277"/>
      <c r="AI131" s="277"/>
      <c r="AJ131" s="216"/>
      <c r="AK131" s="304"/>
      <c r="AL131" s="303"/>
      <c r="AM131" s="216"/>
      <c r="AN131" s="304"/>
      <c r="AO131" s="277"/>
      <c r="AP131" s="303"/>
      <c r="AQ131" s="303"/>
      <c r="AR131" s="304"/>
      <c r="AS131" s="303"/>
      <c r="AT131" s="303"/>
      <c r="AU131" s="303"/>
      <c r="AV131" s="303"/>
      <c r="AW131" s="213"/>
      <c r="AX131" s="213"/>
      <c r="AY131" s="213"/>
      <c r="AZ131" s="213"/>
      <c r="BA131" s="213"/>
      <c r="BB131" s="213"/>
      <c r="BC131" s="213"/>
      <c r="BD131" s="213"/>
      <c r="BE131" s="213"/>
      <c r="BF131" s="213"/>
      <c r="BG131" s="213"/>
      <c r="BH131" s="213"/>
      <c r="BI131" s="213"/>
      <c r="BJ131" s="213"/>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row>
    <row r="132" spans="1:243" ht="15.6">
      <c r="A132" s="355"/>
      <c r="B132" s="336"/>
      <c r="C132" s="287"/>
      <c r="D132" s="287"/>
      <c r="E132" s="287"/>
      <c r="F132" s="287"/>
      <c r="G132" s="287"/>
      <c r="H132" s="287"/>
      <c r="I132" s="287"/>
      <c r="J132" s="287"/>
      <c r="K132" s="334"/>
      <c r="L132" s="287"/>
      <c r="M132" s="287"/>
      <c r="N132" s="287"/>
      <c r="O132" s="287"/>
      <c r="P132" s="339"/>
      <c r="S132" s="277"/>
      <c r="T132" s="277"/>
      <c r="U132" s="277"/>
      <c r="V132" s="277"/>
      <c r="W132" s="277"/>
      <c r="X132" s="277"/>
      <c r="Y132" s="277"/>
      <c r="Z132" s="277"/>
      <c r="AA132" s="277"/>
      <c r="AB132" s="277"/>
      <c r="AC132" s="277"/>
      <c r="AD132" s="277"/>
      <c r="AE132" s="277"/>
      <c r="AF132" s="277"/>
      <c r="AG132" s="277"/>
      <c r="AH132" s="277"/>
      <c r="AI132" s="277"/>
      <c r="AJ132" s="216"/>
      <c r="AK132" s="304"/>
      <c r="AL132" s="303"/>
      <c r="AM132" s="216"/>
      <c r="AN132" s="304"/>
      <c r="AO132" s="277"/>
      <c r="AP132" s="303"/>
      <c r="AQ132" s="303"/>
      <c r="AR132" s="304"/>
      <c r="AS132" s="303"/>
      <c r="AT132" s="303"/>
      <c r="AU132" s="303"/>
      <c r="AV132" s="303"/>
      <c r="AW132" s="213"/>
      <c r="AX132" s="213"/>
      <c r="AY132" s="213"/>
      <c r="AZ132" s="213"/>
      <c r="BA132" s="213"/>
      <c r="BB132" s="213"/>
      <c r="BC132" s="213"/>
      <c r="BD132" s="213"/>
      <c r="BE132" s="213"/>
      <c r="BF132" s="213"/>
      <c r="BG132" s="213"/>
      <c r="BH132" s="213"/>
      <c r="BI132" s="213"/>
      <c r="BJ132" s="213"/>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row>
    <row r="133" spans="1:243" ht="15.6">
      <c r="A133" s="336" t="s">
        <v>713</v>
      </c>
      <c r="B133" s="342"/>
      <c r="C133" s="341" t="s">
        <v>476</v>
      </c>
      <c r="D133" s="287"/>
      <c r="E133" s="287"/>
      <c r="F133" s="287"/>
      <c r="G133" s="287"/>
      <c r="H133" s="287"/>
      <c r="I133" s="287"/>
      <c r="J133" s="287"/>
      <c r="K133" s="334"/>
      <c r="L133" s="287"/>
      <c r="M133" s="287"/>
      <c r="N133" s="287"/>
      <c r="O133" s="287"/>
      <c r="P133" s="339"/>
      <c r="S133" s="277"/>
      <c r="T133" s="277"/>
      <c r="U133" s="277"/>
      <c r="V133" s="277"/>
      <c r="W133" s="277"/>
      <c r="X133" s="277"/>
      <c r="Y133" s="277"/>
      <c r="Z133" s="277"/>
      <c r="AA133" s="277"/>
      <c r="AB133" s="277"/>
      <c r="AC133" s="277"/>
      <c r="AD133" s="277"/>
      <c r="AE133" s="277"/>
      <c r="AF133" s="277"/>
      <c r="AG133" s="277"/>
      <c r="AH133" s="277"/>
      <c r="AI133" s="277"/>
      <c r="AJ133" s="216"/>
      <c r="AK133" s="304"/>
      <c r="AL133" s="303"/>
      <c r="AM133" s="216"/>
      <c r="AN133" s="304"/>
      <c r="AO133" s="277"/>
      <c r="AP133" s="303"/>
      <c r="AQ133" s="303"/>
      <c r="AR133" s="304"/>
      <c r="AS133" s="303"/>
      <c r="AT133" s="303"/>
      <c r="AU133" s="303"/>
      <c r="AV133" s="303"/>
      <c r="AW133" s="213"/>
      <c r="AX133" s="213"/>
      <c r="AY133" s="213"/>
      <c r="AZ133" s="213"/>
      <c r="BA133" s="213"/>
      <c r="BB133" s="213"/>
      <c r="BC133" s="213"/>
      <c r="BD133" s="213"/>
      <c r="BE133" s="213"/>
      <c r="BF133" s="213"/>
      <c r="BG133" s="213"/>
      <c r="BH133" s="213"/>
      <c r="BI133" s="213"/>
      <c r="BJ133" s="21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row>
    <row r="134" spans="1:243" ht="15.6">
      <c r="A134" s="355"/>
      <c r="B134" s="356"/>
      <c r="C134" s="287"/>
      <c r="D134" s="287"/>
      <c r="E134" s="287"/>
      <c r="F134" s="287"/>
      <c r="G134" s="287"/>
      <c r="H134" s="287"/>
      <c r="I134" s="287"/>
      <c r="J134" s="287"/>
      <c r="K134" s="334"/>
      <c r="L134" s="287"/>
      <c r="M134" s="287"/>
      <c r="N134" s="287"/>
      <c r="O134" s="287"/>
      <c r="P134" s="339"/>
      <c r="S134" s="277"/>
      <c r="T134" s="277"/>
      <c r="U134" s="277"/>
      <c r="V134" s="277"/>
      <c r="W134" s="277"/>
      <c r="X134" s="277"/>
      <c r="Y134" s="277"/>
      <c r="Z134" s="277"/>
      <c r="AA134" s="277"/>
      <c r="AB134" s="277"/>
      <c r="AC134" s="277"/>
      <c r="AD134" s="277"/>
      <c r="AE134" s="277"/>
      <c r="AF134" s="277"/>
      <c r="AG134" s="277"/>
      <c r="AH134" s="277"/>
      <c r="AI134" s="277"/>
      <c r="AJ134" s="216"/>
      <c r="AK134" s="304"/>
      <c r="AL134" s="303"/>
      <c r="AM134" s="216"/>
      <c r="AN134" s="304"/>
      <c r="AO134" s="277"/>
      <c r="AP134" s="303"/>
      <c r="AQ134" s="303"/>
      <c r="AR134" s="304"/>
      <c r="AS134" s="303"/>
      <c r="AT134" s="303"/>
      <c r="AU134" s="303"/>
      <c r="AV134" s="303"/>
      <c r="AW134" s="213"/>
      <c r="AX134" s="213"/>
      <c r="AY134" s="213"/>
      <c r="AZ134" s="213"/>
      <c r="BA134" s="213"/>
      <c r="BB134" s="213"/>
      <c r="BC134" s="213"/>
      <c r="BD134" s="213"/>
      <c r="BE134" s="213"/>
      <c r="BF134" s="213"/>
      <c r="BG134" s="213"/>
      <c r="BH134" s="213"/>
      <c r="BI134" s="213"/>
      <c r="BJ134" s="213"/>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row>
    <row r="135" spans="1:243" ht="18.600000000000001">
      <c r="A135" s="355" t="s">
        <v>494</v>
      </c>
      <c r="B135" s="355" t="s">
        <v>1078</v>
      </c>
      <c r="C135" s="334"/>
      <c r="D135" s="1778" t="s">
        <v>714</v>
      </c>
      <c r="E135" s="1779"/>
      <c r="F135" s="1779"/>
      <c r="G135" s="1779"/>
      <c r="H135" s="1779"/>
      <c r="I135" s="1779"/>
      <c r="J135" s="1779"/>
      <c r="K135" s="1779"/>
      <c r="L135" s="1779"/>
      <c r="M135" s="1779"/>
      <c r="N135" s="1779"/>
      <c r="O135" s="1779"/>
      <c r="P135" s="357"/>
      <c r="S135" s="277"/>
      <c r="T135" s="277"/>
      <c r="U135" s="277"/>
      <c r="V135" s="277"/>
      <c r="W135" s="277"/>
      <c r="X135" s="277"/>
      <c r="Y135" s="277"/>
      <c r="Z135" s="277"/>
      <c r="AA135" s="277"/>
      <c r="AB135" s="277"/>
      <c r="AC135" s="277"/>
      <c r="AD135" s="277"/>
      <c r="AE135" s="277"/>
      <c r="AF135" s="277"/>
      <c r="AG135" s="277"/>
      <c r="AH135" s="277"/>
      <c r="AI135" s="277"/>
      <c r="AJ135" s="216"/>
      <c r="AK135" s="304"/>
      <c r="AL135" s="303"/>
      <c r="AM135" s="216"/>
      <c r="AN135" s="304"/>
      <c r="AO135" s="277"/>
      <c r="AP135" s="303"/>
      <c r="AQ135" s="303"/>
      <c r="AR135" s="304"/>
      <c r="AS135" s="303"/>
      <c r="AT135" s="303"/>
      <c r="AU135" s="303"/>
      <c r="AV135" s="303"/>
      <c r="AW135" s="213"/>
      <c r="AX135" s="213"/>
      <c r="AY135" s="213"/>
      <c r="AZ135" s="213"/>
      <c r="BA135" s="213"/>
      <c r="BB135" s="213"/>
      <c r="BC135" s="213"/>
      <c r="BD135" s="213"/>
      <c r="BE135" s="213"/>
      <c r="BF135" s="213"/>
      <c r="BG135" s="213"/>
      <c r="BH135" s="213"/>
      <c r="BI135" s="213"/>
      <c r="BJ135" s="213"/>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row>
    <row r="136" spans="1:243" ht="15.6">
      <c r="A136" s="322" t="s">
        <v>928</v>
      </c>
      <c r="B136" s="322" t="s">
        <v>928</v>
      </c>
      <c r="C136" s="335"/>
      <c r="D136" s="358" t="s">
        <v>715</v>
      </c>
      <c r="E136" s="358" t="s">
        <v>716</v>
      </c>
      <c r="F136" s="358" t="s">
        <v>717</v>
      </c>
      <c r="G136" s="358" t="s">
        <v>718</v>
      </c>
      <c r="H136" s="358" t="s">
        <v>719</v>
      </c>
      <c r="I136" s="358" t="s">
        <v>720</v>
      </c>
      <c r="J136" s="358" t="s">
        <v>721</v>
      </c>
      <c r="K136" s="358" t="s">
        <v>722</v>
      </c>
      <c r="L136" s="358" t="s">
        <v>723</v>
      </c>
      <c r="M136" s="358" t="s">
        <v>724</v>
      </c>
      <c r="N136" s="358" t="s">
        <v>725</v>
      </c>
      <c r="O136" s="358" t="s">
        <v>726</v>
      </c>
      <c r="P136" s="359"/>
      <c r="S136" s="277"/>
      <c r="T136" s="277"/>
      <c r="U136" s="277"/>
      <c r="V136" s="277"/>
      <c r="W136" s="277"/>
      <c r="X136" s="277"/>
      <c r="Y136" s="277"/>
      <c r="Z136" s="277"/>
      <c r="AA136" s="277"/>
      <c r="AB136" s="277"/>
      <c r="AC136" s="277"/>
      <c r="AD136" s="277"/>
      <c r="AE136" s="277"/>
      <c r="AF136" s="277"/>
      <c r="AG136" s="277"/>
      <c r="AH136" s="277"/>
      <c r="AI136" s="277"/>
      <c r="AJ136" s="216"/>
      <c r="AK136" s="304"/>
      <c r="AL136" s="303"/>
      <c r="AM136" s="216"/>
      <c r="AN136" s="304"/>
      <c r="AO136" s="277"/>
      <c r="AP136" s="303"/>
      <c r="AQ136" s="303"/>
      <c r="AR136" s="304"/>
      <c r="AS136" s="303"/>
      <c r="AT136" s="303"/>
      <c r="AU136" s="303"/>
      <c r="AV136" s="303"/>
      <c r="AW136" s="213"/>
      <c r="AX136" s="213"/>
      <c r="AY136" s="213"/>
      <c r="AZ136" s="213"/>
      <c r="BA136" s="213"/>
      <c r="BB136" s="213"/>
      <c r="BC136" s="213"/>
      <c r="BD136" s="213"/>
      <c r="BE136" s="213"/>
      <c r="BF136" s="213"/>
      <c r="BG136" s="213"/>
      <c r="BH136" s="213"/>
      <c r="BI136" s="213"/>
      <c r="BJ136" s="213"/>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row>
    <row r="137" spans="1:243" ht="15.6">
      <c r="A137" s="170">
        <f>A131+1</f>
        <v>85</v>
      </c>
      <c r="B137" s="327">
        <v>341</v>
      </c>
      <c r="C137" s="287"/>
      <c r="D137" s="905">
        <v>0</v>
      </c>
      <c r="E137" s="905">
        <v>0</v>
      </c>
      <c r="F137" s="905">
        <v>0</v>
      </c>
      <c r="G137" s="905">
        <v>0</v>
      </c>
      <c r="H137" s="905">
        <v>0</v>
      </c>
      <c r="I137" s="905">
        <v>0</v>
      </c>
      <c r="J137" s="905">
        <v>0</v>
      </c>
      <c r="K137" s="905">
        <v>0</v>
      </c>
      <c r="L137" s="905">
        <v>0</v>
      </c>
      <c r="M137" s="905">
        <v>0</v>
      </c>
      <c r="N137" s="905">
        <v>0</v>
      </c>
      <c r="O137" s="905">
        <v>0</v>
      </c>
      <c r="P137" s="339"/>
      <c r="S137" s="277"/>
      <c r="T137" s="277"/>
      <c r="U137" s="277"/>
      <c r="V137" s="277"/>
      <c r="W137" s="277"/>
      <c r="X137" s="277"/>
      <c r="Y137" s="277"/>
      <c r="Z137" s="277"/>
      <c r="AA137" s="277"/>
      <c r="AB137" s="277"/>
      <c r="AC137" s="277"/>
      <c r="AD137" s="277"/>
      <c r="AE137" s="277"/>
      <c r="AF137" s="277"/>
      <c r="AG137" s="277"/>
      <c r="AH137" s="277"/>
      <c r="AI137" s="277"/>
      <c r="AJ137" s="216"/>
      <c r="AK137" s="304"/>
      <c r="AL137" s="303"/>
      <c r="AM137" s="216"/>
      <c r="AN137" s="304"/>
      <c r="AO137" s="277"/>
      <c r="AP137" s="303"/>
      <c r="AQ137" s="303"/>
      <c r="AR137" s="304"/>
      <c r="AS137" s="303"/>
      <c r="AT137" s="303"/>
      <c r="AU137" s="303"/>
      <c r="AV137" s="303"/>
      <c r="AW137" s="213"/>
      <c r="AX137" s="213"/>
      <c r="AY137" s="213"/>
      <c r="AZ137" s="213"/>
      <c r="BA137" s="213"/>
      <c r="BB137" s="213"/>
      <c r="BC137" s="213"/>
      <c r="BD137" s="213"/>
      <c r="BE137" s="213"/>
      <c r="BF137" s="213"/>
      <c r="BG137" s="213"/>
      <c r="BH137" s="213"/>
      <c r="BI137" s="213"/>
      <c r="BJ137" s="213"/>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row>
    <row r="138" spans="1:243" ht="15.6">
      <c r="A138" s="170">
        <f>A137+1</f>
        <v>86</v>
      </c>
      <c r="B138" s="327">
        <v>342</v>
      </c>
      <c r="C138" s="287"/>
      <c r="D138" s="907">
        <v>0</v>
      </c>
      <c r="E138" s="907">
        <v>0</v>
      </c>
      <c r="F138" s="907">
        <v>0</v>
      </c>
      <c r="G138" s="907">
        <v>0</v>
      </c>
      <c r="H138" s="907">
        <v>0</v>
      </c>
      <c r="I138" s="907">
        <v>0</v>
      </c>
      <c r="J138" s="907">
        <v>0</v>
      </c>
      <c r="K138" s="907">
        <v>0</v>
      </c>
      <c r="L138" s="907">
        <v>0</v>
      </c>
      <c r="M138" s="907">
        <v>0</v>
      </c>
      <c r="N138" s="907">
        <v>0</v>
      </c>
      <c r="O138" s="907">
        <v>0</v>
      </c>
      <c r="P138" s="339"/>
      <c r="S138" s="277"/>
      <c r="T138" s="277"/>
      <c r="U138" s="277"/>
      <c r="V138" s="277"/>
      <c r="W138" s="277"/>
      <c r="X138" s="277"/>
      <c r="Y138" s="277"/>
      <c r="Z138" s="277"/>
      <c r="AA138" s="277"/>
      <c r="AB138" s="277"/>
      <c r="AC138" s="277"/>
      <c r="AD138" s="277"/>
      <c r="AE138" s="277"/>
      <c r="AF138" s="277"/>
      <c r="AG138" s="277"/>
      <c r="AH138" s="277"/>
      <c r="AI138" s="277"/>
      <c r="AJ138" s="216"/>
      <c r="AK138" s="304"/>
      <c r="AL138" s="303"/>
      <c r="AM138" s="216"/>
      <c r="AN138" s="304"/>
      <c r="AO138" s="277"/>
      <c r="AP138" s="303"/>
      <c r="AQ138" s="303"/>
      <c r="AR138" s="304"/>
      <c r="AS138" s="303"/>
      <c r="AT138" s="303"/>
      <c r="AU138" s="303"/>
      <c r="AV138" s="303"/>
      <c r="AW138" s="213"/>
      <c r="AX138" s="213"/>
      <c r="AY138" s="213"/>
      <c r="AZ138" s="213"/>
      <c r="BA138" s="213"/>
      <c r="BB138" s="213"/>
      <c r="BC138" s="213"/>
      <c r="BD138" s="213"/>
      <c r="BE138" s="213"/>
      <c r="BF138" s="213"/>
      <c r="BG138" s="213"/>
      <c r="BH138" s="213"/>
      <c r="BI138" s="213"/>
      <c r="BJ138" s="213"/>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row>
    <row r="139" spans="1:243" ht="15.6">
      <c r="A139" s="170">
        <f>A138+1</f>
        <v>87</v>
      </c>
      <c r="B139" s="327">
        <v>344</v>
      </c>
      <c r="C139" s="287"/>
      <c r="D139" s="907">
        <v>0</v>
      </c>
      <c r="E139" s="907">
        <v>0</v>
      </c>
      <c r="F139" s="907">
        <v>0</v>
      </c>
      <c r="G139" s="907">
        <v>0</v>
      </c>
      <c r="H139" s="907">
        <v>0</v>
      </c>
      <c r="I139" s="907">
        <v>0</v>
      </c>
      <c r="J139" s="907">
        <v>0</v>
      </c>
      <c r="K139" s="907">
        <v>0</v>
      </c>
      <c r="L139" s="907">
        <v>0</v>
      </c>
      <c r="M139" s="907">
        <v>0</v>
      </c>
      <c r="N139" s="907">
        <v>0</v>
      </c>
      <c r="O139" s="907">
        <v>0</v>
      </c>
      <c r="P139" s="339"/>
      <c r="S139" s="277"/>
      <c r="T139" s="277"/>
      <c r="U139" s="277"/>
      <c r="V139" s="277"/>
      <c r="W139" s="277"/>
      <c r="X139" s="277"/>
      <c r="Y139" s="277"/>
      <c r="Z139" s="277"/>
      <c r="AA139" s="277"/>
      <c r="AB139" s="277"/>
      <c r="AC139" s="277"/>
      <c r="AD139" s="277"/>
      <c r="AE139" s="277"/>
      <c r="AF139" s="277"/>
      <c r="AG139" s="277"/>
      <c r="AH139" s="277"/>
      <c r="AI139" s="277"/>
      <c r="AJ139" s="216"/>
      <c r="AK139" s="304"/>
      <c r="AL139" s="303"/>
      <c r="AM139" s="216"/>
      <c r="AN139" s="304"/>
      <c r="AO139" s="277"/>
      <c r="AP139" s="303"/>
      <c r="AQ139" s="303"/>
      <c r="AR139" s="304"/>
      <c r="AS139" s="303"/>
      <c r="AT139" s="303"/>
      <c r="AU139" s="303"/>
      <c r="AV139" s="303"/>
      <c r="AW139" s="213"/>
      <c r="AX139" s="213"/>
      <c r="AY139" s="213"/>
      <c r="AZ139" s="213"/>
      <c r="BA139" s="213"/>
      <c r="BB139" s="213"/>
      <c r="BC139" s="213"/>
      <c r="BD139" s="213"/>
      <c r="BE139" s="213"/>
      <c r="BF139" s="213"/>
      <c r="BG139" s="213"/>
      <c r="BH139" s="213"/>
      <c r="BI139" s="213"/>
      <c r="BJ139" s="213"/>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row>
    <row r="140" spans="1:243" ht="15.6">
      <c r="A140" s="170">
        <f>A139+1</f>
        <v>88</v>
      </c>
      <c r="B140" s="327">
        <v>345</v>
      </c>
      <c r="C140" s="287"/>
      <c r="D140" s="907">
        <v>0</v>
      </c>
      <c r="E140" s="907">
        <v>0</v>
      </c>
      <c r="F140" s="907">
        <v>0</v>
      </c>
      <c r="G140" s="907">
        <v>0</v>
      </c>
      <c r="H140" s="907">
        <v>0</v>
      </c>
      <c r="I140" s="907">
        <v>0</v>
      </c>
      <c r="J140" s="907">
        <v>0</v>
      </c>
      <c r="K140" s="907">
        <v>0</v>
      </c>
      <c r="L140" s="907">
        <v>0</v>
      </c>
      <c r="M140" s="907">
        <v>0</v>
      </c>
      <c r="N140" s="907">
        <v>0</v>
      </c>
      <c r="O140" s="907">
        <v>0</v>
      </c>
      <c r="P140" s="339"/>
      <c r="S140" s="277"/>
      <c r="T140" s="277"/>
      <c r="U140" s="277"/>
      <c r="V140" s="277"/>
      <c r="W140" s="277"/>
      <c r="X140" s="277"/>
      <c r="Y140" s="277"/>
      <c r="Z140" s="277"/>
      <c r="AA140" s="277"/>
      <c r="AB140" s="277"/>
      <c r="AC140" s="277"/>
      <c r="AD140" s="277"/>
      <c r="AE140" s="277"/>
      <c r="AF140" s="277"/>
      <c r="AG140" s="277"/>
      <c r="AH140" s="277"/>
      <c r="AI140" s="277"/>
      <c r="AJ140" s="216"/>
      <c r="AK140" s="304"/>
      <c r="AL140" s="303"/>
      <c r="AM140" s="216"/>
      <c r="AN140" s="304"/>
      <c r="AO140" s="277"/>
      <c r="AP140" s="303"/>
      <c r="AQ140" s="303"/>
      <c r="AR140" s="304"/>
      <c r="AS140" s="303"/>
      <c r="AT140" s="303"/>
      <c r="AU140" s="303"/>
      <c r="AV140" s="303"/>
      <c r="AW140" s="213"/>
      <c r="AX140" s="213"/>
      <c r="AY140" s="213"/>
      <c r="AZ140" s="213"/>
      <c r="BA140" s="213"/>
      <c r="BB140" s="213"/>
      <c r="BC140" s="213"/>
      <c r="BD140" s="213"/>
      <c r="BE140" s="213"/>
      <c r="BF140" s="213"/>
      <c r="BG140" s="213"/>
      <c r="BH140" s="213"/>
      <c r="BI140" s="213"/>
      <c r="BJ140" s="213"/>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row>
    <row r="141" spans="1:243" ht="15.6">
      <c r="A141" s="170">
        <f>A140+1</f>
        <v>89</v>
      </c>
      <c r="B141" s="327">
        <v>346</v>
      </c>
      <c r="C141" s="287"/>
      <c r="D141" s="907">
        <v>0</v>
      </c>
      <c r="E141" s="907">
        <v>0</v>
      </c>
      <c r="F141" s="907">
        <v>0</v>
      </c>
      <c r="G141" s="907">
        <v>0</v>
      </c>
      <c r="H141" s="907">
        <v>0</v>
      </c>
      <c r="I141" s="907">
        <v>0</v>
      </c>
      <c r="J141" s="907">
        <v>0</v>
      </c>
      <c r="K141" s="907">
        <v>0</v>
      </c>
      <c r="L141" s="907">
        <v>0</v>
      </c>
      <c r="M141" s="907">
        <v>0</v>
      </c>
      <c r="N141" s="907">
        <v>0</v>
      </c>
      <c r="O141" s="907">
        <v>0</v>
      </c>
      <c r="P141" s="339"/>
      <c r="S141" s="277"/>
      <c r="T141" s="277"/>
      <c r="U141" s="277"/>
      <c r="V141" s="277"/>
      <c r="W141" s="277"/>
      <c r="X141" s="277"/>
      <c r="Y141" s="277"/>
      <c r="Z141" s="277"/>
      <c r="AA141" s="277"/>
      <c r="AB141" s="277"/>
      <c r="AC141" s="277"/>
      <c r="AD141" s="277"/>
      <c r="AE141" s="277"/>
      <c r="AF141" s="277"/>
      <c r="AG141" s="277"/>
      <c r="AH141" s="277"/>
      <c r="AI141" s="277"/>
      <c r="AJ141" s="216"/>
      <c r="AK141" s="304"/>
      <c r="AL141" s="303"/>
      <c r="AM141" s="216"/>
      <c r="AN141" s="304"/>
      <c r="AO141" s="277"/>
      <c r="AP141" s="303"/>
      <c r="AQ141" s="303"/>
      <c r="AR141" s="304"/>
      <c r="AS141" s="303"/>
      <c r="AT141" s="303"/>
      <c r="AU141" s="303"/>
      <c r="AV141" s="303"/>
      <c r="AW141" s="213"/>
      <c r="AX141" s="213"/>
      <c r="AY141" s="213"/>
      <c r="AZ141" s="213"/>
      <c r="BA141" s="213"/>
      <c r="BB141" s="213"/>
      <c r="BC141" s="213"/>
      <c r="BD141" s="213"/>
      <c r="BE141" s="213"/>
      <c r="BF141" s="213"/>
      <c r="BG141" s="213"/>
      <c r="BH141" s="213"/>
      <c r="BI141" s="213"/>
      <c r="BJ141" s="213"/>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row>
    <row r="142" spans="1:243" ht="15.6">
      <c r="A142" s="355"/>
      <c r="B142" s="336"/>
      <c r="C142" s="287"/>
      <c r="D142" s="287"/>
      <c r="E142" s="287"/>
      <c r="F142" s="287"/>
      <c r="G142" s="287"/>
      <c r="H142" s="287"/>
      <c r="I142" s="287"/>
      <c r="J142" s="287"/>
      <c r="K142" s="334"/>
      <c r="L142" s="287"/>
      <c r="M142" s="287"/>
      <c r="N142" s="287"/>
      <c r="O142" s="287"/>
      <c r="P142" s="339"/>
      <c r="S142" s="277"/>
      <c r="T142" s="277"/>
      <c r="U142" s="277"/>
      <c r="V142" s="277"/>
      <c r="W142" s="277"/>
      <c r="X142" s="277"/>
      <c r="Y142" s="277"/>
      <c r="Z142" s="277"/>
      <c r="AA142" s="277"/>
      <c r="AB142" s="277"/>
      <c r="AC142" s="277"/>
      <c r="AD142" s="277"/>
      <c r="AE142" s="277"/>
      <c r="AF142" s="277"/>
      <c r="AG142" s="277"/>
      <c r="AH142" s="277"/>
      <c r="AI142" s="277"/>
      <c r="AJ142" s="216"/>
      <c r="AK142" s="304"/>
      <c r="AL142" s="303"/>
      <c r="AM142" s="216"/>
      <c r="AN142" s="304"/>
      <c r="AO142" s="277"/>
      <c r="AP142" s="303"/>
      <c r="AQ142" s="303"/>
      <c r="AR142" s="304"/>
      <c r="AS142" s="303"/>
      <c r="AT142" s="303"/>
      <c r="AU142" s="303"/>
      <c r="AV142" s="303"/>
      <c r="AW142" s="213"/>
      <c r="AX142" s="213"/>
      <c r="AY142" s="213"/>
      <c r="AZ142" s="213"/>
      <c r="BA142" s="213"/>
      <c r="BB142" s="213"/>
      <c r="BC142" s="213"/>
      <c r="BD142" s="213"/>
      <c r="BE142" s="213"/>
      <c r="BF142" s="213"/>
      <c r="BG142" s="213"/>
      <c r="BH142" s="213"/>
      <c r="BI142" s="213"/>
      <c r="BJ142" s="213"/>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row>
    <row r="143" spans="1:243" ht="18.600000000000001">
      <c r="A143" s="355"/>
      <c r="B143" s="355" t="s">
        <v>1078</v>
      </c>
      <c r="C143" s="334" t="s">
        <v>727</v>
      </c>
      <c r="D143" s="1778" t="s">
        <v>728</v>
      </c>
      <c r="E143" s="1779"/>
      <c r="F143" s="1779"/>
      <c r="G143" s="1779"/>
      <c r="H143" s="1779"/>
      <c r="I143" s="1779"/>
      <c r="J143" s="1779"/>
      <c r="K143" s="1779"/>
      <c r="L143" s="1779"/>
      <c r="M143" s="1779"/>
      <c r="N143" s="1779"/>
      <c r="O143" s="1779"/>
      <c r="P143" s="1779"/>
      <c r="S143" s="277"/>
      <c r="T143" s="277"/>
      <c r="U143" s="277"/>
      <c r="V143" s="277"/>
      <c r="W143" s="277"/>
      <c r="X143" s="277"/>
      <c r="Y143" s="277"/>
      <c r="Z143" s="277"/>
      <c r="AA143" s="277"/>
      <c r="AB143" s="277"/>
      <c r="AC143" s="277"/>
      <c r="AD143" s="277"/>
      <c r="AE143" s="277"/>
      <c r="AF143" s="277"/>
      <c r="AG143" s="277"/>
      <c r="AH143" s="277"/>
      <c r="AI143" s="277"/>
      <c r="AJ143" s="216"/>
      <c r="AK143" s="304"/>
      <c r="AL143" s="303"/>
      <c r="AM143" s="216"/>
      <c r="AN143" s="304"/>
      <c r="AO143" s="277"/>
      <c r="AP143" s="303"/>
      <c r="AQ143" s="303"/>
      <c r="AR143" s="304"/>
      <c r="AS143" s="303"/>
      <c r="AT143" s="303"/>
      <c r="AU143" s="303"/>
      <c r="AV143" s="303"/>
      <c r="AW143" s="213"/>
      <c r="AX143" s="213"/>
      <c r="AY143" s="213"/>
      <c r="AZ143" s="213"/>
      <c r="BA143" s="213"/>
      <c r="BB143" s="213"/>
      <c r="BC143" s="213"/>
      <c r="BD143" s="213"/>
      <c r="BE143" s="213"/>
      <c r="BF143" s="213"/>
      <c r="BG143" s="213"/>
      <c r="BH143" s="213"/>
      <c r="BI143" s="213"/>
      <c r="BJ143" s="21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row>
    <row r="144" spans="1:243" ht="18.600000000000001">
      <c r="A144" s="322"/>
      <c r="B144" s="322" t="s">
        <v>928</v>
      </c>
      <c r="C144" s="335" t="s">
        <v>729</v>
      </c>
      <c r="D144" s="358" t="s">
        <v>716</v>
      </c>
      <c r="E144" s="358" t="s">
        <v>717</v>
      </c>
      <c r="F144" s="358" t="s">
        <v>718</v>
      </c>
      <c r="G144" s="358" t="s">
        <v>719</v>
      </c>
      <c r="H144" s="358" t="s">
        <v>720</v>
      </c>
      <c r="I144" s="358" t="s">
        <v>721</v>
      </c>
      <c r="J144" s="358" t="s">
        <v>722</v>
      </c>
      <c r="K144" s="358" t="s">
        <v>723</v>
      </c>
      <c r="L144" s="358" t="s">
        <v>724</v>
      </c>
      <c r="M144" s="358" t="s">
        <v>725</v>
      </c>
      <c r="N144" s="358" t="s">
        <v>726</v>
      </c>
      <c r="O144" s="358" t="s">
        <v>715</v>
      </c>
      <c r="P144" s="360" t="s">
        <v>468</v>
      </c>
      <c r="S144" s="277"/>
      <c r="T144" s="277"/>
      <c r="U144" s="277"/>
      <c r="V144" s="277"/>
      <c r="W144" s="277"/>
      <c r="X144" s="277"/>
      <c r="Y144" s="277"/>
      <c r="Z144" s="277"/>
      <c r="AA144" s="277"/>
      <c r="AB144" s="277"/>
      <c r="AC144" s="277"/>
      <c r="AD144" s="277"/>
      <c r="AE144" s="277"/>
      <c r="AF144" s="277"/>
      <c r="AG144" s="277"/>
      <c r="AH144" s="277"/>
      <c r="AI144" s="277"/>
      <c r="AJ144" s="216"/>
      <c r="AK144" s="304"/>
      <c r="AL144" s="303"/>
      <c r="AM144" s="216"/>
      <c r="AN144" s="304"/>
      <c r="AO144" s="277"/>
      <c r="AP144" s="303"/>
      <c r="AQ144" s="303"/>
      <c r="AR144" s="304"/>
      <c r="AS144" s="303"/>
      <c r="AT144" s="303"/>
      <c r="AU144" s="303"/>
      <c r="AV144" s="303"/>
      <c r="AW144" s="213"/>
      <c r="AX144" s="213"/>
      <c r="AY144" s="213"/>
      <c r="AZ144" s="213"/>
      <c r="BA144" s="213"/>
      <c r="BB144" s="213"/>
      <c r="BC144" s="213"/>
      <c r="BD144" s="213"/>
      <c r="BE144" s="213"/>
      <c r="BF144" s="213"/>
      <c r="BG144" s="213"/>
      <c r="BH144" s="213"/>
      <c r="BI144" s="213"/>
      <c r="BJ144" s="213"/>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row>
    <row r="145" spans="1:243" ht="15.6">
      <c r="A145" s="170">
        <f>A141+1</f>
        <v>90</v>
      </c>
      <c r="B145" s="327">
        <f>B137</f>
        <v>341</v>
      </c>
      <c r="C145" s="908"/>
      <c r="D145" s="603">
        <f>D137*$C145/100/12</f>
        <v>0</v>
      </c>
      <c r="E145" s="603">
        <f t="shared" ref="E145:O145" si="39">E137*$C145/100/12</f>
        <v>0</v>
      </c>
      <c r="F145" s="603">
        <f t="shared" si="39"/>
        <v>0</v>
      </c>
      <c r="G145" s="603">
        <f t="shared" si="39"/>
        <v>0</v>
      </c>
      <c r="H145" s="603">
        <f t="shared" si="39"/>
        <v>0</v>
      </c>
      <c r="I145" s="603">
        <f t="shared" si="39"/>
        <v>0</v>
      </c>
      <c r="J145" s="603">
        <f t="shared" si="39"/>
        <v>0</v>
      </c>
      <c r="K145" s="603">
        <f t="shared" si="39"/>
        <v>0</v>
      </c>
      <c r="L145" s="603">
        <f t="shared" si="39"/>
        <v>0</v>
      </c>
      <c r="M145" s="603">
        <f t="shared" si="39"/>
        <v>0</v>
      </c>
      <c r="N145" s="603">
        <f t="shared" si="39"/>
        <v>0</v>
      </c>
      <c r="O145" s="603">
        <f t="shared" si="39"/>
        <v>0</v>
      </c>
      <c r="P145" s="333">
        <f>SUM(D145:O145)</f>
        <v>0</v>
      </c>
      <c r="S145" s="277"/>
      <c r="T145" s="277"/>
      <c r="U145" s="277"/>
      <c r="V145" s="277"/>
      <c r="W145" s="277"/>
      <c r="X145" s="277"/>
      <c r="Y145" s="277"/>
      <c r="Z145" s="277"/>
      <c r="AA145" s="277"/>
      <c r="AB145" s="277"/>
      <c r="AC145" s="277"/>
      <c r="AD145" s="277"/>
      <c r="AE145" s="277"/>
      <c r="AF145" s="277"/>
      <c r="AG145" s="277"/>
      <c r="AH145" s="277"/>
      <c r="AI145" s="277"/>
      <c r="AJ145" s="216"/>
      <c r="AK145" s="304"/>
      <c r="AL145" s="303"/>
      <c r="AM145" s="216"/>
      <c r="AN145" s="304"/>
      <c r="AO145" s="277"/>
      <c r="AP145" s="303"/>
      <c r="AQ145" s="303"/>
      <c r="AR145" s="304"/>
      <c r="AS145" s="303"/>
      <c r="AT145" s="303"/>
      <c r="AU145" s="303"/>
      <c r="AV145" s="303"/>
      <c r="AW145" s="213"/>
      <c r="AX145" s="213"/>
      <c r="AY145" s="213"/>
      <c r="AZ145" s="213"/>
      <c r="BA145" s="213"/>
      <c r="BB145" s="213"/>
      <c r="BC145" s="213"/>
      <c r="BD145" s="213"/>
      <c r="BE145" s="213"/>
      <c r="BF145" s="213"/>
      <c r="BG145" s="213"/>
      <c r="BH145" s="213"/>
      <c r="BI145" s="213"/>
      <c r="BJ145" s="213"/>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row>
    <row r="146" spans="1:243" ht="15.6">
      <c r="A146" s="170">
        <f>A145+1</f>
        <v>91</v>
      </c>
      <c r="B146" s="327">
        <f>B138</f>
        <v>342</v>
      </c>
      <c r="C146" s="908"/>
      <c r="D146" s="603">
        <f t="shared" ref="D146:O149" si="40">D138*$C146/100/12</f>
        <v>0</v>
      </c>
      <c r="E146" s="603">
        <f t="shared" si="40"/>
        <v>0</v>
      </c>
      <c r="F146" s="603">
        <f t="shared" si="40"/>
        <v>0</v>
      </c>
      <c r="G146" s="603">
        <f t="shared" si="40"/>
        <v>0</v>
      </c>
      <c r="H146" s="603">
        <f t="shared" si="40"/>
        <v>0</v>
      </c>
      <c r="I146" s="603">
        <f t="shared" si="40"/>
        <v>0</v>
      </c>
      <c r="J146" s="603">
        <f t="shared" si="40"/>
        <v>0</v>
      </c>
      <c r="K146" s="603">
        <f t="shared" si="40"/>
        <v>0</v>
      </c>
      <c r="L146" s="603">
        <f t="shared" si="40"/>
        <v>0</v>
      </c>
      <c r="M146" s="603">
        <f t="shared" si="40"/>
        <v>0</v>
      </c>
      <c r="N146" s="603">
        <f t="shared" si="40"/>
        <v>0</v>
      </c>
      <c r="O146" s="603">
        <f t="shared" si="40"/>
        <v>0</v>
      </c>
      <c r="P146" s="333">
        <f>SUM(D146:O146)</f>
        <v>0</v>
      </c>
      <c r="S146" s="277"/>
      <c r="T146" s="277"/>
      <c r="U146" s="277"/>
      <c r="V146" s="277"/>
      <c r="W146" s="277"/>
      <c r="X146" s="277"/>
      <c r="Y146" s="277"/>
      <c r="Z146" s="277"/>
      <c r="AA146" s="277"/>
      <c r="AB146" s="277"/>
      <c r="AC146" s="277"/>
      <c r="AD146" s="277"/>
      <c r="AE146" s="277"/>
      <c r="AF146" s="277"/>
      <c r="AG146" s="277"/>
      <c r="AH146" s="277"/>
      <c r="AI146" s="277"/>
      <c r="AJ146" s="216"/>
      <c r="AK146" s="304"/>
      <c r="AL146" s="303"/>
      <c r="AM146" s="216"/>
      <c r="AN146" s="304"/>
      <c r="AO146" s="277"/>
      <c r="AP146" s="303"/>
      <c r="AQ146" s="303"/>
      <c r="AR146" s="304"/>
      <c r="AS146" s="303"/>
      <c r="AT146" s="303"/>
      <c r="AU146" s="303"/>
      <c r="AV146" s="303"/>
      <c r="AW146" s="213"/>
      <c r="AX146" s="213"/>
      <c r="AY146" s="213"/>
      <c r="AZ146" s="213"/>
      <c r="BA146" s="213"/>
      <c r="BB146" s="213"/>
      <c r="BC146" s="213"/>
      <c r="BD146" s="213"/>
      <c r="BE146" s="213"/>
      <c r="BF146" s="213"/>
      <c r="BG146" s="213"/>
      <c r="BH146" s="213"/>
      <c r="BI146" s="213"/>
      <c r="BJ146" s="213"/>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row>
    <row r="147" spans="1:243" ht="15.6">
      <c r="A147" s="170">
        <f>A146+1</f>
        <v>92</v>
      </c>
      <c r="B147" s="327">
        <f>B139</f>
        <v>344</v>
      </c>
      <c r="C147" s="908"/>
      <c r="D147" s="603">
        <f t="shared" si="40"/>
        <v>0</v>
      </c>
      <c r="E147" s="603">
        <f t="shared" si="40"/>
        <v>0</v>
      </c>
      <c r="F147" s="603">
        <f t="shared" si="40"/>
        <v>0</v>
      </c>
      <c r="G147" s="603">
        <f t="shared" si="40"/>
        <v>0</v>
      </c>
      <c r="H147" s="603">
        <f t="shared" si="40"/>
        <v>0</v>
      </c>
      <c r="I147" s="603">
        <f t="shared" si="40"/>
        <v>0</v>
      </c>
      <c r="J147" s="603">
        <f t="shared" si="40"/>
        <v>0</v>
      </c>
      <c r="K147" s="603">
        <f t="shared" si="40"/>
        <v>0</v>
      </c>
      <c r="L147" s="603">
        <f t="shared" si="40"/>
        <v>0</v>
      </c>
      <c r="M147" s="603">
        <f t="shared" si="40"/>
        <v>0</v>
      </c>
      <c r="N147" s="603">
        <f t="shared" si="40"/>
        <v>0</v>
      </c>
      <c r="O147" s="603">
        <f t="shared" si="40"/>
        <v>0</v>
      </c>
      <c r="P147" s="333">
        <f>SUM(D147:O147)</f>
        <v>0</v>
      </c>
      <c r="S147" s="277"/>
      <c r="T147" s="277"/>
      <c r="U147" s="277"/>
      <c r="V147" s="277"/>
      <c r="W147" s="277"/>
      <c r="X147" s="277"/>
      <c r="Y147" s="277"/>
      <c r="Z147" s="277"/>
      <c r="AA147" s="277"/>
      <c r="AB147" s="277"/>
      <c r="AC147" s="277"/>
      <c r="AD147" s="277"/>
      <c r="AE147" s="277"/>
      <c r="AF147" s="277"/>
      <c r="AG147" s="277"/>
      <c r="AH147" s="277"/>
      <c r="AI147" s="277"/>
      <c r="AJ147" s="216"/>
      <c r="AK147" s="304"/>
      <c r="AL147" s="303"/>
      <c r="AM147" s="216"/>
      <c r="AN147" s="304"/>
      <c r="AO147" s="277"/>
      <c r="AP147" s="303"/>
      <c r="AQ147" s="303"/>
      <c r="AR147" s="304"/>
      <c r="AS147" s="303"/>
      <c r="AT147" s="303"/>
      <c r="AU147" s="303"/>
      <c r="AV147" s="303"/>
      <c r="AW147" s="213"/>
      <c r="AX147" s="213"/>
      <c r="AY147" s="213"/>
      <c r="AZ147" s="213"/>
      <c r="BA147" s="213"/>
      <c r="BB147" s="213"/>
      <c r="BC147" s="213"/>
      <c r="BD147" s="213"/>
      <c r="BE147" s="213"/>
      <c r="BF147" s="213"/>
      <c r="BG147" s="213"/>
      <c r="BH147" s="213"/>
      <c r="BI147" s="213"/>
      <c r="BJ147" s="213"/>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row>
    <row r="148" spans="1:243" ht="15.6">
      <c r="A148" s="170">
        <f>A147+1</f>
        <v>93</v>
      </c>
      <c r="B148" s="327">
        <f>B140</f>
        <v>345</v>
      </c>
      <c r="C148" s="908"/>
      <c r="D148" s="603">
        <f t="shared" si="40"/>
        <v>0</v>
      </c>
      <c r="E148" s="603">
        <f t="shared" si="40"/>
        <v>0</v>
      </c>
      <c r="F148" s="603">
        <f t="shared" si="40"/>
        <v>0</v>
      </c>
      <c r="G148" s="603">
        <f t="shared" si="40"/>
        <v>0</v>
      </c>
      <c r="H148" s="603">
        <f t="shared" si="40"/>
        <v>0</v>
      </c>
      <c r="I148" s="603">
        <f t="shared" si="40"/>
        <v>0</v>
      </c>
      <c r="J148" s="603">
        <f t="shared" si="40"/>
        <v>0</v>
      </c>
      <c r="K148" s="603">
        <f t="shared" si="40"/>
        <v>0</v>
      </c>
      <c r="L148" s="603">
        <f t="shared" si="40"/>
        <v>0</v>
      </c>
      <c r="M148" s="603">
        <f t="shared" si="40"/>
        <v>0</v>
      </c>
      <c r="N148" s="603">
        <f t="shared" si="40"/>
        <v>0</v>
      </c>
      <c r="O148" s="603">
        <f t="shared" si="40"/>
        <v>0</v>
      </c>
      <c r="P148" s="333">
        <f>SUM(D148:O148)</f>
        <v>0</v>
      </c>
      <c r="S148" s="277"/>
      <c r="T148" s="277"/>
      <c r="U148" s="277"/>
      <c r="V148" s="277"/>
      <c r="W148" s="277"/>
      <c r="X148" s="277"/>
      <c r="Y148" s="277"/>
      <c r="Z148" s="277"/>
      <c r="AA148" s="277"/>
      <c r="AB148" s="277"/>
      <c r="AC148" s="277"/>
      <c r="AD148" s="277"/>
      <c r="AE148" s="277"/>
      <c r="AF148" s="277"/>
      <c r="AG148" s="277"/>
      <c r="AH148" s="277"/>
      <c r="AI148" s="277"/>
      <c r="AJ148" s="216"/>
      <c r="AK148" s="304"/>
      <c r="AL148" s="303"/>
      <c r="AM148" s="216"/>
      <c r="AN148" s="304"/>
      <c r="AO148" s="277"/>
      <c r="AP148" s="303"/>
      <c r="AQ148" s="303"/>
      <c r="AR148" s="304"/>
      <c r="AS148" s="303"/>
      <c r="AT148" s="303"/>
      <c r="AU148" s="303"/>
      <c r="AV148" s="303"/>
      <c r="AW148" s="213"/>
      <c r="AX148" s="213"/>
      <c r="AY148" s="213"/>
      <c r="AZ148" s="213"/>
      <c r="BA148" s="213"/>
      <c r="BB148" s="213"/>
      <c r="BC148" s="213"/>
      <c r="BD148" s="213"/>
      <c r="BE148" s="213"/>
      <c r="BF148" s="213"/>
      <c r="BG148" s="213"/>
      <c r="BH148" s="213"/>
      <c r="BI148" s="213"/>
      <c r="BJ148" s="213"/>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row>
    <row r="149" spans="1:243" ht="15.6">
      <c r="A149" s="170">
        <f>A148+1</f>
        <v>94</v>
      </c>
      <c r="B149" s="327">
        <f>B141</f>
        <v>346</v>
      </c>
      <c r="C149" s="908"/>
      <c r="D149" s="603">
        <f t="shared" si="40"/>
        <v>0</v>
      </c>
      <c r="E149" s="603">
        <f t="shared" si="40"/>
        <v>0</v>
      </c>
      <c r="F149" s="603">
        <f t="shared" si="40"/>
        <v>0</v>
      </c>
      <c r="G149" s="603">
        <f t="shared" si="40"/>
        <v>0</v>
      </c>
      <c r="H149" s="603">
        <f t="shared" si="40"/>
        <v>0</v>
      </c>
      <c r="I149" s="603">
        <f t="shared" si="40"/>
        <v>0</v>
      </c>
      <c r="J149" s="603">
        <f t="shared" si="40"/>
        <v>0</v>
      </c>
      <c r="K149" s="603">
        <f t="shared" si="40"/>
        <v>0</v>
      </c>
      <c r="L149" s="603">
        <f t="shared" si="40"/>
        <v>0</v>
      </c>
      <c r="M149" s="603">
        <f t="shared" si="40"/>
        <v>0</v>
      </c>
      <c r="N149" s="603">
        <f t="shared" si="40"/>
        <v>0</v>
      </c>
      <c r="O149" s="603">
        <f t="shared" si="40"/>
        <v>0</v>
      </c>
      <c r="P149" s="361">
        <f>SUM(D149:O149)</f>
        <v>0</v>
      </c>
      <c r="S149" s="277"/>
      <c r="T149" s="277"/>
      <c r="U149" s="277"/>
      <c r="V149" s="277"/>
      <c r="W149" s="277"/>
      <c r="X149" s="277"/>
      <c r="Y149" s="277"/>
      <c r="Z149" s="277"/>
      <c r="AA149" s="277"/>
      <c r="AB149" s="277"/>
      <c r="AC149" s="277"/>
      <c r="AD149" s="277"/>
      <c r="AE149" s="277"/>
      <c r="AF149" s="277"/>
      <c r="AG149" s="277"/>
      <c r="AH149" s="277"/>
      <c r="AI149" s="277"/>
      <c r="AJ149" s="216"/>
      <c r="AK149" s="304"/>
      <c r="AL149" s="303"/>
      <c r="AM149" s="216"/>
      <c r="AN149" s="304"/>
      <c r="AO149" s="277"/>
      <c r="AP149" s="303"/>
      <c r="AQ149" s="303"/>
      <c r="AR149" s="304"/>
      <c r="AS149" s="303"/>
      <c r="AT149" s="303"/>
      <c r="AU149" s="303"/>
      <c r="AV149" s="303"/>
      <c r="AW149" s="213"/>
      <c r="AX149" s="213"/>
      <c r="AY149" s="213"/>
      <c r="AZ149" s="213"/>
      <c r="BA149" s="213"/>
      <c r="BB149" s="213"/>
      <c r="BC149" s="213"/>
      <c r="BD149" s="213"/>
      <c r="BE149" s="213"/>
      <c r="BF149" s="213"/>
      <c r="BG149" s="213"/>
      <c r="BH149" s="213"/>
      <c r="BI149" s="213"/>
      <c r="BJ149" s="213"/>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row>
    <row r="150" spans="1:243" ht="15.6">
      <c r="A150" s="170"/>
      <c r="B150" s="327"/>
      <c r="C150" s="327"/>
      <c r="D150" s="328"/>
      <c r="E150" s="328"/>
      <c r="F150" s="328"/>
      <c r="G150" s="328"/>
      <c r="H150" s="328"/>
      <c r="I150" s="328"/>
      <c r="J150" s="328"/>
      <c r="K150" s="328"/>
      <c r="L150" s="328"/>
      <c r="M150" s="328"/>
      <c r="N150" s="328"/>
      <c r="O150" s="328"/>
      <c r="P150" s="362"/>
      <c r="S150" s="277"/>
      <c r="T150" s="277"/>
      <c r="U150" s="277"/>
      <c r="V150" s="277"/>
      <c r="W150" s="277"/>
      <c r="X150" s="277"/>
      <c r="Y150" s="277"/>
      <c r="Z150" s="277"/>
      <c r="AA150" s="277"/>
      <c r="AB150" s="277"/>
      <c r="AC150" s="277"/>
      <c r="AD150" s="277"/>
      <c r="AE150" s="277"/>
      <c r="AF150" s="277"/>
      <c r="AG150" s="277"/>
      <c r="AH150" s="277"/>
      <c r="AI150" s="277"/>
      <c r="AJ150" s="216"/>
      <c r="AK150" s="304"/>
      <c r="AL150" s="303"/>
      <c r="AM150" s="216"/>
      <c r="AN150" s="304"/>
      <c r="AO150" s="277"/>
      <c r="AP150" s="303"/>
      <c r="AQ150" s="303"/>
      <c r="AR150" s="304"/>
      <c r="AS150" s="303"/>
      <c r="AT150" s="303"/>
      <c r="AU150" s="303"/>
      <c r="AV150" s="303"/>
      <c r="AW150" s="213"/>
      <c r="AX150" s="213"/>
      <c r="AY150" s="213"/>
      <c r="AZ150" s="213"/>
      <c r="BA150" s="213"/>
      <c r="BB150" s="213"/>
      <c r="BC150" s="213"/>
      <c r="BD150" s="213"/>
      <c r="BE150" s="213"/>
      <c r="BF150" s="213"/>
      <c r="BG150" s="213"/>
      <c r="BH150" s="213"/>
      <c r="BI150" s="213"/>
      <c r="BJ150" s="213"/>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row>
    <row r="151" spans="1:243" ht="18.600000000000001">
      <c r="A151" s="355"/>
      <c r="B151" s="355" t="s">
        <v>1078</v>
      </c>
      <c r="C151" s="334" t="s">
        <v>730</v>
      </c>
      <c r="D151" s="1778" t="s">
        <v>731</v>
      </c>
      <c r="E151" s="1779"/>
      <c r="F151" s="1779"/>
      <c r="G151" s="1779"/>
      <c r="H151" s="1779"/>
      <c r="I151" s="1779"/>
      <c r="J151" s="1779"/>
      <c r="K151" s="1779"/>
      <c r="L151" s="1779"/>
      <c r="M151" s="1779"/>
      <c r="N151" s="1779"/>
      <c r="O151" s="1779"/>
      <c r="P151" s="1779"/>
      <c r="S151" s="277"/>
      <c r="T151" s="277"/>
      <c r="U151" s="277"/>
      <c r="V151" s="277"/>
      <c r="W151" s="277"/>
      <c r="X151" s="277"/>
      <c r="Y151" s="277"/>
      <c r="Z151" s="277"/>
      <c r="AA151" s="277"/>
      <c r="AB151" s="277"/>
      <c r="AC151" s="277"/>
      <c r="AD151" s="277"/>
      <c r="AE151" s="277"/>
      <c r="AF151" s="277"/>
      <c r="AG151" s="277"/>
      <c r="AH151" s="277"/>
      <c r="AI151" s="277"/>
      <c r="AJ151" s="216"/>
      <c r="AK151" s="304"/>
      <c r="AL151" s="303"/>
      <c r="AM151" s="216"/>
      <c r="AN151" s="304"/>
      <c r="AO151" s="277"/>
      <c r="AP151" s="303"/>
      <c r="AQ151" s="303"/>
      <c r="AR151" s="304"/>
      <c r="AS151" s="303"/>
      <c r="AT151" s="303"/>
      <c r="AU151" s="303"/>
      <c r="AV151" s="303"/>
      <c r="AW151" s="213"/>
      <c r="AX151" s="213"/>
      <c r="AY151" s="213"/>
      <c r="AZ151" s="213"/>
      <c r="BA151" s="213"/>
      <c r="BB151" s="213"/>
      <c r="BC151" s="213"/>
      <c r="BD151" s="213"/>
      <c r="BE151" s="213"/>
      <c r="BF151" s="213"/>
      <c r="BG151" s="213"/>
      <c r="BH151" s="213"/>
      <c r="BI151" s="213"/>
      <c r="BJ151" s="213"/>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row>
    <row r="152" spans="1:243" ht="18.600000000000001">
      <c r="A152" s="355"/>
      <c r="B152" s="322" t="s">
        <v>928</v>
      </c>
      <c r="C152" s="335" t="s">
        <v>732</v>
      </c>
      <c r="D152" s="358" t="s">
        <v>716</v>
      </c>
      <c r="E152" s="358" t="s">
        <v>717</v>
      </c>
      <c r="F152" s="358" t="s">
        <v>718</v>
      </c>
      <c r="G152" s="358" t="s">
        <v>719</v>
      </c>
      <c r="H152" s="358" t="s">
        <v>720</v>
      </c>
      <c r="I152" s="358" t="s">
        <v>721</v>
      </c>
      <c r="J152" s="358" t="s">
        <v>722</v>
      </c>
      <c r="K152" s="358" t="s">
        <v>723</v>
      </c>
      <c r="L152" s="358" t="s">
        <v>724</v>
      </c>
      <c r="M152" s="358" t="s">
        <v>725</v>
      </c>
      <c r="N152" s="358" t="s">
        <v>726</v>
      </c>
      <c r="O152" s="358" t="s">
        <v>715</v>
      </c>
      <c r="P152" s="360" t="s">
        <v>628</v>
      </c>
      <c r="S152" s="277"/>
      <c r="T152" s="277"/>
      <c r="U152" s="277"/>
      <c r="V152" s="277"/>
      <c r="W152" s="277"/>
      <c r="X152" s="277"/>
      <c r="Y152" s="277"/>
      <c r="Z152" s="277"/>
      <c r="AA152" s="277"/>
      <c r="AB152" s="277"/>
      <c r="AC152" s="277"/>
      <c r="AD152" s="277"/>
      <c r="AE152" s="277"/>
      <c r="AF152" s="277"/>
      <c r="AG152" s="277"/>
      <c r="AH152" s="277"/>
      <c r="AI152" s="277"/>
      <c r="AJ152" s="216"/>
      <c r="AK152" s="304"/>
      <c r="AL152" s="303"/>
      <c r="AM152" s="216"/>
      <c r="AN152" s="304"/>
      <c r="AO152" s="277"/>
      <c r="AP152" s="303"/>
      <c r="AQ152" s="303"/>
      <c r="AR152" s="304"/>
      <c r="AS152" s="303"/>
      <c r="AT152" s="303"/>
      <c r="AU152" s="303"/>
      <c r="AV152" s="303"/>
      <c r="AW152" s="213"/>
      <c r="AX152" s="213"/>
      <c r="AY152" s="213"/>
      <c r="AZ152" s="213"/>
      <c r="BA152" s="213"/>
      <c r="BB152" s="213"/>
      <c r="BC152" s="213"/>
      <c r="BD152" s="213"/>
      <c r="BE152" s="213"/>
      <c r="BF152" s="213"/>
      <c r="BG152" s="213"/>
      <c r="BH152" s="213"/>
      <c r="BI152" s="213"/>
      <c r="BJ152" s="213"/>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row>
    <row r="153" spans="1:243" ht="15.6">
      <c r="A153" s="170">
        <f>A149+1</f>
        <v>95</v>
      </c>
      <c r="B153" s="327">
        <f>B137</f>
        <v>341</v>
      </c>
      <c r="C153" s="907">
        <v>0</v>
      </c>
      <c r="D153" s="603">
        <f>C153+D145</f>
        <v>0</v>
      </c>
      <c r="E153" s="603">
        <f t="shared" ref="E153:O157" si="41">D153+E145</f>
        <v>0</v>
      </c>
      <c r="F153" s="603">
        <f t="shared" si="41"/>
        <v>0</v>
      </c>
      <c r="G153" s="603">
        <f t="shared" si="41"/>
        <v>0</v>
      </c>
      <c r="H153" s="603">
        <f t="shared" si="41"/>
        <v>0</v>
      </c>
      <c r="I153" s="603">
        <f t="shared" si="41"/>
        <v>0</v>
      </c>
      <c r="J153" s="603">
        <f t="shared" si="41"/>
        <v>0</v>
      </c>
      <c r="K153" s="603">
        <f t="shared" si="41"/>
        <v>0</v>
      </c>
      <c r="L153" s="603">
        <f t="shared" si="41"/>
        <v>0</v>
      </c>
      <c r="M153" s="603">
        <f t="shared" si="41"/>
        <v>0</v>
      </c>
      <c r="N153" s="603">
        <f t="shared" si="41"/>
        <v>0</v>
      </c>
      <c r="O153" s="603">
        <f t="shared" si="41"/>
        <v>0</v>
      </c>
      <c r="P153" s="333">
        <f>O153</f>
        <v>0</v>
      </c>
      <c r="S153" s="277"/>
      <c r="T153" s="277"/>
      <c r="U153" s="277"/>
      <c r="V153" s="277"/>
      <c r="W153" s="277"/>
      <c r="X153" s="277"/>
      <c r="Y153" s="277"/>
      <c r="Z153" s="277"/>
      <c r="AA153" s="277"/>
      <c r="AB153" s="277"/>
      <c r="AC153" s="277"/>
      <c r="AD153" s="277"/>
      <c r="AE153" s="277"/>
      <c r="AF153" s="277"/>
      <c r="AG153" s="277"/>
      <c r="AH153" s="277"/>
      <c r="AI153" s="277"/>
      <c r="AJ153" s="216"/>
      <c r="AK153" s="304"/>
      <c r="AL153" s="303"/>
      <c r="AM153" s="216"/>
      <c r="AN153" s="304"/>
      <c r="AO153" s="277"/>
      <c r="AP153" s="303"/>
      <c r="AQ153" s="303"/>
      <c r="AR153" s="304"/>
      <c r="AS153" s="303"/>
      <c r="AT153" s="303"/>
      <c r="AU153" s="303"/>
      <c r="AV153" s="303"/>
      <c r="AW153" s="213"/>
      <c r="AX153" s="213"/>
      <c r="AY153" s="213"/>
      <c r="AZ153" s="213"/>
      <c r="BA153" s="213"/>
      <c r="BB153" s="213"/>
      <c r="BC153" s="213"/>
      <c r="BD153" s="213"/>
      <c r="BE153" s="213"/>
      <c r="BF153" s="213"/>
      <c r="BG153" s="213"/>
      <c r="BH153" s="213"/>
      <c r="BI153" s="213"/>
      <c r="BJ153" s="21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row>
    <row r="154" spans="1:243" ht="15.6">
      <c r="A154" s="170">
        <f>A153+1</f>
        <v>96</v>
      </c>
      <c r="B154" s="327">
        <f>B138</f>
        <v>342</v>
      </c>
      <c r="C154" s="907">
        <v>0</v>
      </c>
      <c r="D154" s="603">
        <f>C154+D146</f>
        <v>0</v>
      </c>
      <c r="E154" s="603">
        <f t="shared" si="41"/>
        <v>0</v>
      </c>
      <c r="F154" s="603">
        <f t="shared" si="41"/>
        <v>0</v>
      </c>
      <c r="G154" s="603">
        <f t="shared" si="41"/>
        <v>0</v>
      </c>
      <c r="H154" s="603">
        <f t="shared" si="41"/>
        <v>0</v>
      </c>
      <c r="I154" s="603">
        <f t="shared" si="41"/>
        <v>0</v>
      </c>
      <c r="J154" s="603">
        <f t="shared" si="41"/>
        <v>0</v>
      </c>
      <c r="K154" s="603">
        <f t="shared" si="41"/>
        <v>0</v>
      </c>
      <c r="L154" s="603">
        <f t="shared" si="41"/>
        <v>0</v>
      </c>
      <c r="M154" s="603">
        <f t="shared" si="41"/>
        <v>0</v>
      </c>
      <c r="N154" s="603">
        <f t="shared" si="41"/>
        <v>0</v>
      </c>
      <c r="O154" s="603">
        <f t="shared" si="41"/>
        <v>0</v>
      </c>
      <c r="P154" s="333">
        <f>O154</f>
        <v>0</v>
      </c>
      <c r="S154" s="277"/>
      <c r="T154" s="277"/>
      <c r="U154" s="277"/>
      <c r="V154" s="277"/>
      <c r="W154" s="277"/>
      <c r="X154" s="277"/>
      <c r="Y154" s="277"/>
      <c r="Z154" s="277"/>
      <c r="AA154" s="277"/>
      <c r="AB154" s="277"/>
      <c r="AC154" s="277"/>
      <c r="AD154" s="277"/>
      <c r="AE154" s="277"/>
      <c r="AF154" s="277"/>
      <c r="AG154" s="277"/>
      <c r="AH154" s="277"/>
      <c r="AI154" s="277"/>
      <c r="AJ154" s="216"/>
      <c r="AK154" s="304"/>
      <c r="AL154" s="303"/>
      <c r="AM154" s="216"/>
      <c r="AN154" s="304"/>
      <c r="AO154" s="277"/>
      <c r="AP154" s="303"/>
      <c r="AQ154" s="303"/>
      <c r="AR154" s="304"/>
      <c r="AS154" s="303"/>
      <c r="AT154" s="303"/>
      <c r="AU154" s="303"/>
      <c r="AV154" s="303"/>
      <c r="AW154" s="213"/>
      <c r="AX154" s="213"/>
      <c r="AY154" s="213"/>
      <c r="AZ154" s="213"/>
      <c r="BA154" s="213"/>
      <c r="BB154" s="213"/>
      <c r="BC154" s="213"/>
      <c r="BD154" s="213"/>
      <c r="BE154" s="213"/>
      <c r="BF154" s="213"/>
      <c r="BG154" s="213"/>
      <c r="BH154" s="213"/>
      <c r="BI154" s="213"/>
      <c r="BJ154" s="213"/>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row>
    <row r="155" spans="1:243" ht="15.6">
      <c r="A155" s="170">
        <f>A154+1</f>
        <v>97</v>
      </c>
      <c r="B155" s="327">
        <f>B139</f>
        <v>344</v>
      </c>
      <c r="C155" s="907">
        <v>0</v>
      </c>
      <c r="D155" s="603">
        <f>C155+D147</f>
        <v>0</v>
      </c>
      <c r="E155" s="603">
        <f t="shared" si="41"/>
        <v>0</v>
      </c>
      <c r="F155" s="603">
        <f t="shared" si="41"/>
        <v>0</v>
      </c>
      <c r="G155" s="603">
        <f t="shared" si="41"/>
        <v>0</v>
      </c>
      <c r="H155" s="603">
        <f t="shared" si="41"/>
        <v>0</v>
      </c>
      <c r="I155" s="603">
        <f t="shared" si="41"/>
        <v>0</v>
      </c>
      <c r="J155" s="603">
        <f t="shared" si="41"/>
        <v>0</v>
      </c>
      <c r="K155" s="603">
        <f t="shared" si="41"/>
        <v>0</v>
      </c>
      <c r="L155" s="603">
        <f t="shared" si="41"/>
        <v>0</v>
      </c>
      <c r="M155" s="603">
        <f t="shared" si="41"/>
        <v>0</v>
      </c>
      <c r="N155" s="603">
        <f t="shared" si="41"/>
        <v>0</v>
      </c>
      <c r="O155" s="603">
        <f t="shared" si="41"/>
        <v>0</v>
      </c>
      <c r="P155" s="333">
        <f>O155</f>
        <v>0</v>
      </c>
      <c r="S155" s="277"/>
      <c r="T155" s="277"/>
      <c r="U155" s="277"/>
      <c r="V155" s="277"/>
      <c r="W155" s="277"/>
      <c r="X155" s="277"/>
      <c r="Y155" s="277"/>
      <c r="Z155" s="277"/>
      <c r="AA155" s="277"/>
      <c r="AB155" s="277"/>
      <c r="AC155" s="277"/>
      <c r="AD155" s="277"/>
      <c r="AE155" s="277"/>
      <c r="AF155" s="277"/>
      <c r="AG155" s="277"/>
      <c r="AH155" s="277"/>
      <c r="AI155" s="277"/>
      <c r="AJ155" s="216"/>
      <c r="AK155" s="304"/>
      <c r="AL155" s="303"/>
      <c r="AM155" s="216"/>
      <c r="AN155" s="304"/>
      <c r="AO155" s="277"/>
      <c r="AP155" s="303"/>
      <c r="AQ155" s="303"/>
      <c r="AR155" s="304"/>
      <c r="AS155" s="303"/>
      <c r="AT155" s="303"/>
      <c r="AU155" s="303"/>
      <c r="AV155" s="303"/>
      <c r="AW155" s="213"/>
      <c r="AX155" s="213"/>
      <c r="AY155" s="213"/>
      <c r="AZ155" s="213"/>
      <c r="BA155" s="213"/>
      <c r="BB155" s="213"/>
      <c r="BC155" s="213"/>
      <c r="BD155" s="213"/>
      <c r="BE155" s="213"/>
      <c r="BF155" s="213"/>
      <c r="BG155" s="213"/>
      <c r="BH155" s="213"/>
      <c r="BI155" s="213"/>
      <c r="BJ155" s="213"/>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row>
    <row r="156" spans="1:243" ht="15.6">
      <c r="A156" s="170">
        <f>A155+1</f>
        <v>98</v>
      </c>
      <c r="B156" s="327">
        <f>B140</f>
        <v>345</v>
      </c>
      <c r="C156" s="907">
        <v>0</v>
      </c>
      <c r="D156" s="603">
        <f>C156+D148</f>
        <v>0</v>
      </c>
      <c r="E156" s="603">
        <f t="shared" si="41"/>
        <v>0</v>
      </c>
      <c r="F156" s="603">
        <f t="shared" si="41"/>
        <v>0</v>
      </c>
      <c r="G156" s="603">
        <f t="shared" si="41"/>
        <v>0</v>
      </c>
      <c r="H156" s="603">
        <f t="shared" si="41"/>
        <v>0</v>
      </c>
      <c r="I156" s="603">
        <f t="shared" si="41"/>
        <v>0</v>
      </c>
      <c r="J156" s="603">
        <f t="shared" si="41"/>
        <v>0</v>
      </c>
      <c r="K156" s="603">
        <f t="shared" si="41"/>
        <v>0</v>
      </c>
      <c r="L156" s="603">
        <f t="shared" si="41"/>
        <v>0</v>
      </c>
      <c r="M156" s="603">
        <f t="shared" si="41"/>
        <v>0</v>
      </c>
      <c r="N156" s="603">
        <f t="shared" si="41"/>
        <v>0</v>
      </c>
      <c r="O156" s="603">
        <f t="shared" si="41"/>
        <v>0</v>
      </c>
      <c r="P156" s="333">
        <f>O156</f>
        <v>0</v>
      </c>
      <c r="S156" s="277"/>
      <c r="T156" s="277"/>
      <c r="U156" s="277"/>
      <c r="V156" s="277"/>
      <c r="W156" s="277"/>
      <c r="X156" s="277"/>
      <c r="Y156" s="277"/>
      <c r="Z156" s="277"/>
      <c r="AA156" s="277"/>
      <c r="AB156" s="277"/>
      <c r="AC156" s="277"/>
      <c r="AD156" s="277"/>
      <c r="AE156" s="277"/>
      <c r="AF156" s="277"/>
      <c r="AG156" s="277"/>
      <c r="AH156" s="277"/>
      <c r="AI156" s="277"/>
      <c r="AJ156" s="216"/>
      <c r="AK156" s="304"/>
      <c r="AL156" s="303"/>
      <c r="AM156" s="216"/>
      <c r="AN156" s="304"/>
      <c r="AO156" s="277"/>
      <c r="AP156" s="303"/>
      <c r="AQ156" s="303"/>
      <c r="AR156" s="304"/>
      <c r="AS156" s="303"/>
      <c r="AT156" s="303"/>
      <c r="AU156" s="303"/>
      <c r="AV156" s="303"/>
      <c r="AW156" s="213"/>
      <c r="AX156" s="213"/>
      <c r="AY156" s="213"/>
      <c r="AZ156" s="213"/>
      <c r="BA156" s="213"/>
      <c r="BB156" s="213"/>
      <c r="BC156" s="213"/>
      <c r="BD156" s="213"/>
      <c r="BE156" s="213"/>
      <c r="BF156" s="213"/>
      <c r="BG156" s="213"/>
      <c r="BH156" s="213"/>
      <c r="BI156" s="213"/>
      <c r="BJ156" s="213"/>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row>
    <row r="157" spans="1:243" ht="15.6">
      <c r="A157" s="170">
        <f>A156+1</f>
        <v>99</v>
      </c>
      <c r="B157" s="327">
        <f>B141</f>
        <v>346</v>
      </c>
      <c r="C157" s="907">
        <v>0</v>
      </c>
      <c r="D157" s="603">
        <f>C157+D149</f>
        <v>0</v>
      </c>
      <c r="E157" s="603">
        <f t="shared" si="41"/>
        <v>0</v>
      </c>
      <c r="F157" s="603">
        <f t="shared" si="41"/>
        <v>0</v>
      </c>
      <c r="G157" s="603">
        <f t="shared" si="41"/>
        <v>0</v>
      </c>
      <c r="H157" s="603">
        <f t="shared" si="41"/>
        <v>0</v>
      </c>
      <c r="I157" s="603">
        <f t="shared" si="41"/>
        <v>0</v>
      </c>
      <c r="J157" s="603">
        <f t="shared" si="41"/>
        <v>0</v>
      </c>
      <c r="K157" s="603">
        <f t="shared" si="41"/>
        <v>0</v>
      </c>
      <c r="L157" s="603">
        <f t="shared" si="41"/>
        <v>0</v>
      </c>
      <c r="M157" s="603">
        <f t="shared" si="41"/>
        <v>0</v>
      </c>
      <c r="N157" s="603">
        <f t="shared" si="41"/>
        <v>0</v>
      </c>
      <c r="O157" s="603">
        <f t="shared" si="41"/>
        <v>0</v>
      </c>
      <c r="P157" s="333">
        <f>O157</f>
        <v>0</v>
      </c>
      <c r="S157" s="277"/>
      <c r="T157" s="277"/>
      <c r="U157" s="277"/>
      <c r="V157" s="277"/>
      <c r="W157" s="277"/>
      <c r="X157" s="277"/>
      <c r="Y157" s="277"/>
      <c r="Z157" s="277"/>
      <c r="AA157" s="277"/>
      <c r="AB157" s="277"/>
      <c r="AC157" s="277"/>
      <c r="AD157" s="277"/>
      <c r="AE157" s="277"/>
      <c r="AF157" s="277"/>
      <c r="AG157" s="277"/>
      <c r="AH157" s="277"/>
      <c r="AI157" s="277"/>
      <c r="AJ157" s="216"/>
      <c r="AK157" s="304"/>
      <c r="AL157" s="303"/>
      <c r="AM157" s="216"/>
      <c r="AN157" s="304"/>
      <c r="AO157" s="277"/>
      <c r="AP157" s="303"/>
      <c r="AQ157" s="303"/>
      <c r="AR157" s="304"/>
      <c r="AS157" s="303"/>
      <c r="AT157" s="303"/>
      <c r="AU157" s="303"/>
      <c r="AV157" s="303"/>
      <c r="AW157" s="213"/>
      <c r="AX157" s="213"/>
      <c r="AY157" s="213"/>
      <c r="AZ157" s="213"/>
      <c r="BA157" s="213"/>
      <c r="BB157" s="213"/>
      <c r="BC157" s="213"/>
      <c r="BD157" s="213"/>
      <c r="BE157" s="213"/>
      <c r="BF157" s="213"/>
      <c r="BG157" s="213"/>
      <c r="BH157" s="213"/>
      <c r="BI157" s="213"/>
      <c r="BJ157" s="213"/>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row>
    <row r="158" spans="1:243" ht="15.6">
      <c r="A158" s="355"/>
      <c r="B158" s="336"/>
      <c r="C158" s="287"/>
      <c r="D158" s="287"/>
      <c r="E158" s="287"/>
      <c r="F158" s="287"/>
      <c r="G158" s="287"/>
      <c r="H158" s="287"/>
      <c r="I158" s="287"/>
      <c r="J158" s="287"/>
      <c r="K158" s="334"/>
      <c r="L158" s="287"/>
      <c r="M158" s="287"/>
      <c r="N158" s="287"/>
      <c r="O158" s="287"/>
      <c r="P158" s="339"/>
      <c r="S158" s="277"/>
      <c r="T158" s="277"/>
      <c r="U158" s="277"/>
      <c r="V158" s="277"/>
      <c r="W158" s="277"/>
      <c r="X158" s="277"/>
      <c r="Y158" s="277"/>
      <c r="Z158" s="277"/>
      <c r="AA158" s="277"/>
      <c r="AB158" s="277"/>
      <c r="AC158" s="277"/>
      <c r="AD158" s="277"/>
      <c r="AE158" s="277"/>
      <c r="AF158" s="277"/>
      <c r="AG158" s="277"/>
      <c r="AH158" s="277"/>
      <c r="AI158" s="277"/>
      <c r="AJ158" s="216"/>
      <c r="AK158" s="304"/>
      <c r="AL158" s="303"/>
      <c r="AM158" s="216"/>
      <c r="AN158" s="304"/>
      <c r="AO158" s="277"/>
      <c r="AP158" s="303"/>
      <c r="AQ158" s="303"/>
      <c r="AR158" s="304"/>
      <c r="AS158" s="303"/>
      <c r="AT158" s="303"/>
      <c r="AU158" s="303"/>
      <c r="AV158" s="303"/>
      <c r="AW158" s="213"/>
      <c r="AX158" s="213"/>
      <c r="AY158" s="213"/>
      <c r="AZ158" s="213"/>
      <c r="BA158" s="213"/>
      <c r="BB158" s="213"/>
      <c r="BC158" s="213"/>
      <c r="BD158" s="213"/>
      <c r="BE158" s="213"/>
      <c r="BF158" s="213"/>
      <c r="BG158" s="213"/>
      <c r="BH158" s="213"/>
      <c r="BI158" s="213"/>
      <c r="BJ158" s="213"/>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row>
    <row r="159" spans="1:243" ht="15.6">
      <c r="A159" s="336" t="s">
        <v>713</v>
      </c>
      <c r="B159" s="342"/>
      <c r="C159" s="341" t="s">
        <v>476</v>
      </c>
      <c r="D159" s="287"/>
      <c r="E159" s="287"/>
      <c r="F159" s="287"/>
      <c r="G159" s="287"/>
      <c r="H159" s="287"/>
      <c r="I159" s="287"/>
      <c r="J159" s="287"/>
      <c r="K159" s="334"/>
      <c r="L159" s="287"/>
      <c r="M159" s="287"/>
      <c r="N159" s="287"/>
      <c r="O159" s="287"/>
      <c r="P159" s="339"/>
      <c r="S159" s="277"/>
      <c r="T159" s="277"/>
      <c r="U159" s="277"/>
      <c r="V159" s="277"/>
      <c r="W159" s="277"/>
      <c r="X159" s="277"/>
      <c r="Y159" s="277"/>
      <c r="Z159" s="277"/>
      <c r="AA159" s="277"/>
      <c r="AB159" s="277"/>
      <c r="AC159" s="277"/>
      <c r="AD159" s="277"/>
      <c r="AE159" s="277"/>
      <c r="AF159" s="277"/>
      <c r="AG159" s="277"/>
      <c r="AH159" s="277"/>
      <c r="AI159" s="277"/>
      <c r="AJ159" s="216"/>
      <c r="AK159" s="304"/>
      <c r="AL159" s="303"/>
      <c r="AM159" s="216"/>
      <c r="AN159" s="304"/>
      <c r="AO159" s="277"/>
      <c r="AP159" s="303"/>
      <c r="AQ159" s="303"/>
      <c r="AR159" s="304"/>
      <c r="AS159" s="303"/>
      <c r="AT159" s="303"/>
      <c r="AU159" s="303"/>
      <c r="AV159" s="303"/>
      <c r="AW159" s="213"/>
      <c r="AX159" s="213"/>
      <c r="AY159" s="213"/>
      <c r="AZ159" s="213"/>
      <c r="BA159" s="213"/>
      <c r="BB159" s="213"/>
      <c r="BC159" s="213"/>
      <c r="BD159" s="213"/>
      <c r="BE159" s="213"/>
      <c r="BF159" s="213"/>
      <c r="BG159" s="213"/>
      <c r="BH159" s="213"/>
      <c r="BI159" s="213"/>
      <c r="BJ159" s="213"/>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row>
    <row r="160" spans="1:243" ht="15.6">
      <c r="A160" s="355"/>
      <c r="B160" s="356"/>
      <c r="C160" s="287"/>
      <c r="D160" s="287"/>
      <c r="E160" s="287"/>
      <c r="F160" s="287"/>
      <c r="G160" s="287"/>
      <c r="H160" s="287"/>
      <c r="I160" s="287"/>
      <c r="J160" s="287"/>
      <c r="K160" s="334"/>
      <c r="L160" s="287"/>
      <c r="M160" s="287"/>
      <c r="N160" s="287"/>
      <c r="O160" s="287"/>
      <c r="P160" s="339"/>
      <c r="S160" s="277"/>
      <c r="T160" s="277"/>
      <c r="U160" s="277"/>
      <c r="V160" s="277"/>
      <c r="W160" s="277"/>
      <c r="X160" s="277"/>
      <c r="Y160" s="277"/>
      <c r="Z160" s="277"/>
      <c r="AA160" s="277"/>
      <c r="AB160" s="277"/>
      <c r="AC160" s="277"/>
      <c r="AD160" s="277"/>
      <c r="AE160" s="277"/>
      <c r="AF160" s="277"/>
      <c r="AG160" s="277"/>
      <c r="AH160" s="277"/>
      <c r="AI160" s="277"/>
      <c r="AJ160" s="216"/>
      <c r="AK160" s="304"/>
      <c r="AL160" s="303"/>
      <c r="AM160" s="216"/>
      <c r="AN160" s="304"/>
      <c r="AO160" s="277"/>
      <c r="AP160" s="303"/>
      <c r="AQ160" s="303"/>
      <c r="AR160" s="304"/>
      <c r="AS160" s="303"/>
      <c r="AT160" s="303"/>
      <c r="AU160" s="303"/>
      <c r="AV160" s="303"/>
      <c r="AW160" s="213"/>
      <c r="AX160" s="213"/>
      <c r="AY160" s="213"/>
      <c r="AZ160" s="213"/>
      <c r="BA160" s="213"/>
      <c r="BB160" s="213"/>
      <c r="BC160" s="213"/>
      <c r="BD160" s="213"/>
      <c r="BE160" s="213"/>
      <c r="BF160" s="213"/>
      <c r="BG160" s="213"/>
      <c r="BH160" s="213"/>
      <c r="BI160" s="213"/>
      <c r="BJ160" s="213"/>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row>
    <row r="161" spans="1:243" ht="18.600000000000001">
      <c r="A161" s="355" t="s">
        <v>494</v>
      </c>
      <c r="B161" s="355" t="s">
        <v>1078</v>
      </c>
      <c r="C161" s="334"/>
      <c r="D161" s="1778" t="s">
        <v>714</v>
      </c>
      <c r="E161" s="1779"/>
      <c r="F161" s="1779"/>
      <c r="G161" s="1779"/>
      <c r="H161" s="1779"/>
      <c r="I161" s="1779"/>
      <c r="J161" s="1779"/>
      <c r="K161" s="1779"/>
      <c r="L161" s="1779"/>
      <c r="M161" s="1779"/>
      <c r="N161" s="1779"/>
      <c r="O161" s="1779"/>
      <c r="P161" s="357"/>
      <c r="S161" s="277"/>
      <c r="T161" s="277"/>
      <c r="U161" s="277"/>
      <c r="V161" s="277"/>
      <c r="W161" s="277"/>
      <c r="X161" s="277"/>
      <c r="Y161" s="277"/>
      <c r="Z161" s="277"/>
      <c r="AA161" s="277"/>
      <c r="AB161" s="277"/>
      <c r="AC161" s="277"/>
      <c r="AD161" s="277"/>
      <c r="AE161" s="277"/>
      <c r="AF161" s="277"/>
      <c r="AG161" s="277"/>
      <c r="AH161" s="277"/>
      <c r="AI161" s="277"/>
      <c r="AJ161" s="216"/>
      <c r="AK161" s="304"/>
      <c r="AL161" s="303"/>
      <c r="AM161" s="216"/>
      <c r="AN161" s="304"/>
      <c r="AO161" s="277"/>
      <c r="AP161" s="303"/>
      <c r="AQ161" s="303"/>
      <c r="AR161" s="304"/>
      <c r="AS161" s="303"/>
      <c r="AT161" s="303"/>
      <c r="AU161" s="303"/>
      <c r="AV161" s="303"/>
      <c r="AW161" s="213"/>
      <c r="AX161" s="213"/>
      <c r="AY161" s="213"/>
      <c r="AZ161" s="213"/>
      <c r="BA161" s="213"/>
      <c r="BB161" s="213"/>
      <c r="BC161" s="213"/>
      <c r="BD161" s="213"/>
      <c r="BE161" s="213"/>
      <c r="BF161" s="213"/>
      <c r="BG161" s="213"/>
      <c r="BH161" s="213"/>
      <c r="BI161" s="213"/>
      <c r="BJ161" s="213"/>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row>
    <row r="162" spans="1:243" ht="15.6">
      <c r="A162" s="322" t="s">
        <v>928</v>
      </c>
      <c r="B162" s="322" t="s">
        <v>928</v>
      </c>
      <c r="C162" s="335"/>
      <c r="D162" s="358" t="s">
        <v>715</v>
      </c>
      <c r="E162" s="358" t="s">
        <v>716</v>
      </c>
      <c r="F162" s="358" t="s">
        <v>717</v>
      </c>
      <c r="G162" s="358" t="s">
        <v>718</v>
      </c>
      <c r="H162" s="358" t="s">
        <v>719</v>
      </c>
      <c r="I162" s="358" t="s">
        <v>720</v>
      </c>
      <c r="J162" s="358" t="s">
        <v>721</v>
      </c>
      <c r="K162" s="358" t="s">
        <v>722</v>
      </c>
      <c r="L162" s="358" t="s">
        <v>723</v>
      </c>
      <c r="M162" s="358" t="s">
        <v>724</v>
      </c>
      <c r="N162" s="358" t="s">
        <v>725</v>
      </c>
      <c r="O162" s="358" t="s">
        <v>726</v>
      </c>
      <c r="P162" s="359"/>
      <c r="S162" s="277"/>
      <c r="T162" s="277"/>
      <c r="U162" s="277"/>
      <c r="V162" s="277"/>
      <c r="W162" s="277"/>
      <c r="X162" s="277"/>
      <c r="Y162" s="277"/>
      <c r="Z162" s="277"/>
      <c r="AA162" s="277"/>
      <c r="AB162" s="277"/>
      <c r="AC162" s="277"/>
      <c r="AD162" s="277"/>
      <c r="AE162" s="277"/>
      <c r="AF162" s="277"/>
      <c r="AG162" s="277"/>
      <c r="AH162" s="277"/>
      <c r="AI162" s="277"/>
      <c r="AJ162" s="216"/>
      <c r="AK162" s="304"/>
      <c r="AL162" s="303"/>
      <c r="AM162" s="216"/>
      <c r="AN162" s="304"/>
      <c r="AO162" s="277"/>
      <c r="AP162" s="303"/>
      <c r="AQ162" s="303"/>
      <c r="AR162" s="304"/>
      <c r="AS162" s="303"/>
      <c r="AT162" s="303"/>
      <c r="AU162" s="303"/>
      <c r="AV162" s="303"/>
      <c r="AW162" s="213"/>
      <c r="AX162" s="213"/>
      <c r="AY162" s="213"/>
      <c r="AZ162" s="213"/>
      <c r="BA162" s="213"/>
      <c r="BB162" s="213"/>
      <c r="BC162" s="213"/>
      <c r="BD162" s="213"/>
      <c r="BE162" s="213"/>
      <c r="BF162" s="213"/>
      <c r="BG162" s="213"/>
      <c r="BH162" s="213"/>
      <c r="BI162" s="213"/>
      <c r="BJ162" s="213"/>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row>
    <row r="163" spans="1:243" ht="15.6">
      <c r="A163" s="170">
        <f>A157+1</f>
        <v>100</v>
      </c>
      <c r="B163" s="327">
        <v>341</v>
      </c>
      <c r="C163" s="287"/>
      <c r="D163" s="905">
        <v>0</v>
      </c>
      <c r="E163" s="905">
        <v>0</v>
      </c>
      <c r="F163" s="905">
        <v>0</v>
      </c>
      <c r="G163" s="905">
        <v>0</v>
      </c>
      <c r="H163" s="905">
        <v>0</v>
      </c>
      <c r="I163" s="905">
        <v>0</v>
      </c>
      <c r="J163" s="905">
        <v>0</v>
      </c>
      <c r="K163" s="905">
        <v>0</v>
      </c>
      <c r="L163" s="905">
        <v>0</v>
      </c>
      <c r="M163" s="905">
        <v>0</v>
      </c>
      <c r="N163" s="905">
        <v>0</v>
      </c>
      <c r="O163" s="905">
        <v>0</v>
      </c>
      <c r="P163" s="339"/>
      <c r="S163" s="277"/>
      <c r="T163" s="277"/>
      <c r="U163" s="277"/>
      <c r="V163" s="277"/>
      <c r="W163" s="277"/>
      <c r="X163" s="277"/>
      <c r="Y163" s="277"/>
      <c r="Z163" s="277"/>
      <c r="AA163" s="277"/>
      <c r="AB163" s="277"/>
      <c r="AC163" s="277"/>
      <c r="AD163" s="277"/>
      <c r="AE163" s="277"/>
      <c r="AF163" s="277"/>
      <c r="AG163" s="277"/>
      <c r="AH163" s="277"/>
      <c r="AI163" s="277"/>
      <c r="AJ163" s="216"/>
      <c r="AK163" s="304"/>
      <c r="AL163" s="303"/>
      <c r="AM163" s="216"/>
      <c r="AN163" s="304"/>
      <c r="AO163" s="277"/>
      <c r="AP163" s="303"/>
      <c r="AQ163" s="303"/>
      <c r="AR163" s="304"/>
      <c r="AS163" s="303"/>
      <c r="AT163" s="303"/>
      <c r="AU163" s="303"/>
      <c r="AV163" s="303"/>
      <c r="AW163" s="213"/>
      <c r="AX163" s="213"/>
      <c r="AY163" s="213"/>
      <c r="AZ163" s="213"/>
      <c r="BA163" s="213"/>
      <c r="BB163" s="213"/>
      <c r="BC163" s="213"/>
      <c r="BD163" s="213"/>
      <c r="BE163" s="213"/>
      <c r="BF163" s="213"/>
      <c r="BG163" s="213"/>
      <c r="BH163" s="213"/>
      <c r="BI163" s="213"/>
      <c r="BJ163" s="21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row>
    <row r="164" spans="1:243" ht="15.6">
      <c r="A164" s="170">
        <f>A163+1</f>
        <v>101</v>
      </c>
      <c r="B164" s="327">
        <v>342</v>
      </c>
      <c r="C164" s="287"/>
      <c r="D164" s="907">
        <v>0</v>
      </c>
      <c r="E164" s="907">
        <v>0</v>
      </c>
      <c r="F164" s="907">
        <v>0</v>
      </c>
      <c r="G164" s="907">
        <v>0</v>
      </c>
      <c r="H164" s="907">
        <v>0</v>
      </c>
      <c r="I164" s="907">
        <v>0</v>
      </c>
      <c r="J164" s="907">
        <v>0</v>
      </c>
      <c r="K164" s="907">
        <v>0</v>
      </c>
      <c r="L164" s="907">
        <v>0</v>
      </c>
      <c r="M164" s="907">
        <v>0</v>
      </c>
      <c r="N164" s="907">
        <v>0</v>
      </c>
      <c r="O164" s="907">
        <v>0</v>
      </c>
      <c r="P164" s="339"/>
      <c r="S164" s="277"/>
      <c r="T164" s="277"/>
      <c r="U164" s="277"/>
      <c r="V164" s="277"/>
      <c r="W164" s="277"/>
      <c r="X164" s="277"/>
      <c r="Y164" s="277"/>
      <c r="Z164" s="277"/>
      <c r="AA164" s="277"/>
      <c r="AB164" s="277"/>
      <c r="AC164" s="277"/>
      <c r="AD164" s="277"/>
      <c r="AE164" s="277"/>
      <c r="AF164" s="277"/>
      <c r="AG164" s="277"/>
      <c r="AH164" s="277"/>
      <c r="AI164" s="277"/>
      <c r="AJ164" s="216"/>
      <c r="AK164" s="312"/>
      <c r="AL164" s="303"/>
      <c r="AM164" s="216"/>
      <c r="AN164" s="304"/>
      <c r="AO164" s="277"/>
      <c r="AP164" s="303"/>
      <c r="AQ164" s="303"/>
      <c r="AR164" s="304"/>
      <c r="AS164" s="303"/>
      <c r="AT164" s="303"/>
      <c r="AU164" s="303"/>
      <c r="AV164" s="303"/>
      <c r="AW164" s="213"/>
      <c r="AX164" s="213"/>
      <c r="AY164" s="213"/>
      <c r="AZ164" s="213"/>
      <c r="BA164" s="213"/>
      <c r="BB164" s="213"/>
      <c r="BC164" s="213"/>
      <c r="BD164" s="213"/>
      <c r="BE164" s="213"/>
      <c r="BF164" s="213"/>
      <c r="BG164" s="213"/>
      <c r="BH164" s="213"/>
      <c r="BI164" s="213"/>
      <c r="BJ164" s="213"/>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row>
    <row r="165" spans="1:243" ht="15.6">
      <c r="A165" s="170">
        <f>A164+1</f>
        <v>102</v>
      </c>
      <c r="B165" s="327">
        <v>344</v>
      </c>
      <c r="C165" s="287"/>
      <c r="D165" s="907">
        <v>0</v>
      </c>
      <c r="E165" s="907">
        <v>0</v>
      </c>
      <c r="F165" s="907">
        <v>0</v>
      </c>
      <c r="G165" s="907">
        <v>0</v>
      </c>
      <c r="H165" s="907">
        <v>0</v>
      </c>
      <c r="I165" s="907">
        <v>0</v>
      </c>
      <c r="J165" s="907">
        <v>0</v>
      </c>
      <c r="K165" s="907">
        <v>0</v>
      </c>
      <c r="L165" s="907">
        <v>0</v>
      </c>
      <c r="M165" s="907">
        <v>0</v>
      </c>
      <c r="N165" s="907">
        <v>0</v>
      </c>
      <c r="O165" s="907">
        <v>0</v>
      </c>
      <c r="P165" s="339"/>
      <c r="S165" s="277"/>
      <c r="T165" s="277"/>
      <c r="U165" s="277"/>
      <c r="V165" s="277"/>
      <c r="W165" s="277"/>
      <c r="X165" s="277"/>
      <c r="Y165" s="277"/>
      <c r="Z165" s="277"/>
      <c r="AA165" s="277"/>
      <c r="AB165" s="277"/>
      <c r="AC165" s="277"/>
      <c r="AD165" s="277"/>
      <c r="AE165" s="277"/>
      <c r="AF165" s="277"/>
      <c r="AG165" s="277"/>
      <c r="AH165" s="277"/>
      <c r="AI165" s="277"/>
      <c r="AJ165" s="216"/>
      <c r="AK165" s="304"/>
      <c r="AL165" s="303"/>
      <c r="AM165" s="216"/>
      <c r="AN165" s="304"/>
      <c r="AO165" s="277"/>
      <c r="AP165" s="303"/>
      <c r="AQ165" s="303"/>
      <c r="AR165" s="304"/>
      <c r="AS165" s="303"/>
      <c r="AT165" s="303"/>
      <c r="AU165" s="303"/>
      <c r="AV165" s="303"/>
      <c r="AW165" s="213"/>
      <c r="AX165" s="213"/>
      <c r="AY165" s="213"/>
      <c r="AZ165" s="213"/>
      <c r="BA165" s="213"/>
      <c r="BB165" s="213"/>
      <c r="BC165" s="213"/>
      <c r="BD165" s="213"/>
      <c r="BE165" s="213"/>
      <c r="BF165" s="213"/>
      <c r="BG165" s="213"/>
      <c r="BH165" s="213"/>
      <c r="BI165" s="213"/>
      <c r="BJ165" s="213"/>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row>
    <row r="166" spans="1:243" ht="15.6">
      <c r="A166" s="170">
        <f>A165+1</f>
        <v>103</v>
      </c>
      <c r="B166" s="327">
        <v>345</v>
      </c>
      <c r="C166" s="287"/>
      <c r="D166" s="907">
        <v>0</v>
      </c>
      <c r="E166" s="907">
        <v>0</v>
      </c>
      <c r="F166" s="907">
        <v>0</v>
      </c>
      <c r="G166" s="907">
        <v>0</v>
      </c>
      <c r="H166" s="907">
        <v>0</v>
      </c>
      <c r="I166" s="907">
        <v>0</v>
      </c>
      <c r="J166" s="907">
        <v>0</v>
      </c>
      <c r="K166" s="907">
        <v>0</v>
      </c>
      <c r="L166" s="907">
        <v>0</v>
      </c>
      <c r="M166" s="907">
        <v>0</v>
      </c>
      <c r="N166" s="907">
        <v>0</v>
      </c>
      <c r="O166" s="907">
        <v>0</v>
      </c>
      <c r="P166" s="339"/>
      <c r="S166" s="277"/>
      <c r="T166" s="277"/>
      <c r="U166" s="277"/>
      <c r="V166" s="277"/>
      <c r="W166" s="277"/>
      <c r="X166" s="277"/>
      <c r="Y166" s="277"/>
      <c r="Z166" s="277"/>
      <c r="AA166" s="277"/>
      <c r="AB166" s="277"/>
      <c r="AC166" s="277"/>
      <c r="AD166" s="277"/>
      <c r="AE166" s="277"/>
      <c r="AF166" s="277"/>
      <c r="AG166" s="277"/>
      <c r="AH166" s="277"/>
      <c r="AI166" s="277"/>
      <c r="AJ166" s="216"/>
      <c r="AK166" s="304"/>
      <c r="AL166" s="303"/>
      <c r="AM166" s="216"/>
      <c r="AN166" s="304"/>
      <c r="AO166" s="277"/>
      <c r="AP166" s="303"/>
      <c r="AQ166" s="303"/>
      <c r="AR166" s="304"/>
      <c r="AS166" s="303"/>
      <c r="AT166" s="303"/>
      <c r="AU166" s="303"/>
      <c r="AV166" s="303"/>
      <c r="AW166" s="213"/>
      <c r="AX166" s="213"/>
      <c r="AY166" s="213"/>
      <c r="AZ166" s="213"/>
      <c r="BA166" s="213"/>
      <c r="BB166" s="213"/>
      <c r="BC166" s="213"/>
      <c r="BD166" s="213"/>
      <c r="BE166" s="213"/>
      <c r="BF166" s="213"/>
      <c r="BG166" s="213"/>
      <c r="BH166" s="213"/>
      <c r="BI166" s="213"/>
      <c r="BJ166" s="213"/>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row>
    <row r="167" spans="1:243" ht="15.6">
      <c r="A167" s="170">
        <f>A166+1</f>
        <v>104</v>
      </c>
      <c r="B167" s="327">
        <v>346</v>
      </c>
      <c r="C167" s="287"/>
      <c r="D167" s="907">
        <v>0</v>
      </c>
      <c r="E167" s="907">
        <v>0</v>
      </c>
      <c r="F167" s="907">
        <v>0</v>
      </c>
      <c r="G167" s="907">
        <v>0</v>
      </c>
      <c r="H167" s="907">
        <v>0</v>
      </c>
      <c r="I167" s="907">
        <v>0</v>
      </c>
      <c r="J167" s="907">
        <v>0</v>
      </c>
      <c r="K167" s="907">
        <v>0</v>
      </c>
      <c r="L167" s="907">
        <v>0</v>
      </c>
      <c r="M167" s="907">
        <v>0</v>
      </c>
      <c r="N167" s="907">
        <v>0</v>
      </c>
      <c r="O167" s="907">
        <v>0</v>
      </c>
      <c r="P167" s="339"/>
      <c r="S167" s="277"/>
      <c r="T167" s="277"/>
      <c r="U167" s="277"/>
      <c r="V167" s="277"/>
      <c r="W167" s="277"/>
      <c r="X167" s="277"/>
      <c r="Y167" s="277"/>
      <c r="Z167" s="277"/>
      <c r="AA167" s="277"/>
      <c r="AB167" s="277"/>
      <c r="AC167" s="277"/>
      <c r="AD167" s="277"/>
      <c r="AE167" s="277"/>
      <c r="AF167" s="277"/>
      <c r="AG167" s="277"/>
      <c r="AH167" s="277"/>
      <c r="AI167" s="277"/>
      <c r="AJ167" s="216"/>
      <c r="AK167" s="304"/>
      <c r="AL167" s="303"/>
      <c r="AM167" s="216"/>
      <c r="AN167" s="304"/>
      <c r="AO167" s="277"/>
      <c r="AP167" s="303"/>
      <c r="AQ167" s="303"/>
      <c r="AR167" s="304"/>
      <c r="AS167" s="303"/>
      <c r="AT167" s="303"/>
      <c r="AU167" s="303"/>
      <c r="AV167" s="303"/>
      <c r="AW167" s="213"/>
      <c r="AX167" s="213"/>
      <c r="AY167" s="213"/>
      <c r="AZ167" s="213"/>
      <c r="BA167" s="213"/>
      <c r="BB167" s="213"/>
      <c r="BC167" s="213"/>
      <c r="BD167" s="213"/>
      <c r="BE167" s="213"/>
      <c r="BF167" s="213"/>
      <c r="BG167" s="213"/>
      <c r="BH167" s="213"/>
      <c r="BI167" s="213"/>
      <c r="BJ167" s="213"/>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row>
    <row r="168" spans="1:243" ht="15.6">
      <c r="A168" s="355"/>
      <c r="B168" s="336"/>
      <c r="C168" s="287"/>
      <c r="D168" s="287"/>
      <c r="E168" s="287"/>
      <c r="F168" s="287"/>
      <c r="G168" s="287"/>
      <c r="H168" s="287"/>
      <c r="I168" s="287"/>
      <c r="J168" s="287"/>
      <c r="K168" s="334"/>
      <c r="L168" s="287"/>
      <c r="M168" s="287"/>
      <c r="N168" s="287"/>
      <c r="O168" s="287"/>
      <c r="P168" s="339"/>
      <c r="S168" s="277"/>
      <c r="T168" s="277"/>
      <c r="U168" s="277"/>
      <c r="V168" s="277"/>
      <c r="W168" s="277"/>
      <c r="X168" s="277"/>
      <c r="Y168" s="277"/>
      <c r="Z168" s="277"/>
      <c r="AA168" s="277"/>
      <c r="AB168" s="277"/>
      <c r="AC168" s="277"/>
      <c r="AD168" s="277"/>
      <c r="AE168" s="277"/>
      <c r="AF168" s="277"/>
      <c r="AG168" s="277"/>
      <c r="AH168" s="277"/>
      <c r="AI168" s="277"/>
      <c r="AJ168" s="216"/>
      <c r="AK168" s="304"/>
      <c r="AL168" s="303"/>
      <c r="AM168" s="216"/>
      <c r="AN168" s="304"/>
      <c r="AO168" s="277"/>
      <c r="AP168" s="303"/>
      <c r="AQ168" s="303"/>
      <c r="AR168" s="304"/>
      <c r="AS168" s="303"/>
      <c r="AT168" s="303"/>
      <c r="AU168" s="303"/>
      <c r="AV168" s="303"/>
      <c r="AW168" s="213"/>
      <c r="AX168" s="213"/>
      <c r="AY168" s="213"/>
      <c r="AZ168" s="213"/>
      <c r="BA168" s="213"/>
      <c r="BB168" s="213"/>
      <c r="BC168" s="213"/>
      <c r="BD168" s="213"/>
      <c r="BE168" s="213"/>
      <c r="BF168" s="213"/>
      <c r="BG168" s="213"/>
      <c r="BH168" s="213"/>
      <c r="BI168" s="213"/>
      <c r="BJ168" s="213"/>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row>
    <row r="169" spans="1:243" ht="18.600000000000001">
      <c r="A169" s="355"/>
      <c r="B169" s="355" t="s">
        <v>1078</v>
      </c>
      <c r="C169" s="334" t="s">
        <v>727</v>
      </c>
      <c r="D169" s="1778" t="s">
        <v>728</v>
      </c>
      <c r="E169" s="1779"/>
      <c r="F169" s="1779"/>
      <c r="G169" s="1779"/>
      <c r="H169" s="1779"/>
      <c r="I169" s="1779"/>
      <c r="J169" s="1779"/>
      <c r="K169" s="1779"/>
      <c r="L169" s="1779"/>
      <c r="M169" s="1779"/>
      <c r="N169" s="1779"/>
      <c r="O169" s="1779"/>
      <c r="P169" s="1779"/>
      <c r="S169" s="277"/>
      <c r="T169" s="277"/>
      <c r="U169" s="277"/>
      <c r="V169" s="277"/>
      <c r="W169" s="277"/>
      <c r="X169" s="277"/>
      <c r="Y169" s="277"/>
      <c r="Z169" s="277"/>
      <c r="AA169" s="277"/>
      <c r="AB169" s="277"/>
      <c r="AC169" s="277"/>
      <c r="AD169" s="277"/>
      <c r="AE169" s="277"/>
      <c r="AF169" s="277"/>
      <c r="AG169" s="277"/>
      <c r="AH169" s="277"/>
      <c r="AI169" s="277"/>
      <c r="AJ169" s="216"/>
      <c r="AK169" s="304"/>
      <c r="AL169" s="303"/>
      <c r="AM169" s="216"/>
      <c r="AN169" s="304"/>
      <c r="AO169" s="277"/>
      <c r="AP169" s="303"/>
      <c r="AQ169" s="303"/>
      <c r="AR169" s="304"/>
      <c r="AS169" s="303"/>
      <c r="AT169" s="303"/>
      <c r="AU169" s="303"/>
      <c r="AV169" s="303"/>
      <c r="AW169" s="213"/>
      <c r="AX169" s="213"/>
      <c r="AY169" s="213"/>
      <c r="AZ169" s="213"/>
      <c r="BA169" s="213"/>
      <c r="BB169" s="213"/>
      <c r="BC169" s="213"/>
      <c r="BD169" s="213"/>
      <c r="BE169" s="213"/>
      <c r="BF169" s="213"/>
      <c r="BG169" s="213"/>
      <c r="BH169" s="213"/>
      <c r="BI169" s="213"/>
      <c r="BJ169" s="213"/>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row>
    <row r="170" spans="1:243" ht="18.600000000000001">
      <c r="A170" s="322"/>
      <c r="B170" s="322" t="s">
        <v>928</v>
      </c>
      <c r="C170" s="335" t="s">
        <v>729</v>
      </c>
      <c r="D170" s="358" t="s">
        <v>716</v>
      </c>
      <c r="E170" s="358" t="s">
        <v>717</v>
      </c>
      <c r="F170" s="358" t="s">
        <v>718</v>
      </c>
      <c r="G170" s="358" t="s">
        <v>719</v>
      </c>
      <c r="H170" s="358" t="s">
        <v>720</v>
      </c>
      <c r="I170" s="358" t="s">
        <v>721</v>
      </c>
      <c r="J170" s="358" t="s">
        <v>722</v>
      </c>
      <c r="K170" s="358" t="s">
        <v>723</v>
      </c>
      <c r="L170" s="358" t="s">
        <v>724</v>
      </c>
      <c r="M170" s="358" t="s">
        <v>725</v>
      </c>
      <c r="N170" s="358" t="s">
        <v>726</v>
      </c>
      <c r="O170" s="358" t="s">
        <v>715</v>
      </c>
      <c r="P170" s="360" t="s">
        <v>468</v>
      </c>
      <c r="S170" s="277"/>
      <c r="T170" s="277"/>
      <c r="U170" s="277"/>
      <c r="V170" s="277"/>
      <c r="W170" s="277"/>
      <c r="X170" s="277"/>
      <c r="Y170" s="277"/>
      <c r="Z170" s="277"/>
      <c r="AA170" s="277"/>
      <c r="AB170" s="277"/>
      <c r="AC170" s="277"/>
      <c r="AD170" s="277"/>
      <c r="AE170" s="277"/>
      <c r="AF170" s="277"/>
      <c r="AG170" s="277"/>
      <c r="AH170" s="277"/>
      <c r="AI170" s="277"/>
      <c r="AJ170" s="216"/>
      <c r="AK170" s="304"/>
      <c r="AL170" s="303"/>
      <c r="AM170" s="216"/>
      <c r="AN170" s="304"/>
      <c r="AO170" s="277"/>
      <c r="AP170" s="303"/>
      <c r="AQ170" s="303"/>
      <c r="AR170" s="304"/>
      <c r="AS170" s="303"/>
      <c r="AT170" s="303"/>
      <c r="AU170" s="303"/>
      <c r="AV170" s="303"/>
      <c r="AW170" s="213"/>
      <c r="AX170" s="213"/>
      <c r="AY170" s="213"/>
      <c r="AZ170" s="213"/>
      <c r="BA170" s="213"/>
      <c r="BB170" s="213"/>
      <c r="BC170" s="213"/>
      <c r="BD170" s="213"/>
      <c r="BE170" s="213"/>
      <c r="BF170" s="213"/>
      <c r="BG170" s="213"/>
      <c r="BH170" s="213"/>
      <c r="BI170" s="213"/>
      <c r="BJ170" s="213"/>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row>
    <row r="171" spans="1:243" ht="15.6">
      <c r="A171" s="170">
        <f>A167+1</f>
        <v>105</v>
      </c>
      <c r="B171" s="327">
        <f>B153</f>
        <v>341</v>
      </c>
      <c r="C171" s="908"/>
      <c r="D171" s="603">
        <f>D163*$C171/100/12</f>
        <v>0</v>
      </c>
      <c r="E171" s="603">
        <f t="shared" ref="E171:O171" si="42">E163*$C171/100/12</f>
        <v>0</v>
      </c>
      <c r="F171" s="603">
        <f t="shared" si="42"/>
        <v>0</v>
      </c>
      <c r="G171" s="603">
        <f t="shared" si="42"/>
        <v>0</v>
      </c>
      <c r="H171" s="603">
        <f t="shared" si="42"/>
        <v>0</v>
      </c>
      <c r="I171" s="603">
        <f t="shared" si="42"/>
        <v>0</v>
      </c>
      <c r="J171" s="603">
        <f t="shared" si="42"/>
        <v>0</v>
      </c>
      <c r="K171" s="603">
        <f t="shared" si="42"/>
        <v>0</v>
      </c>
      <c r="L171" s="603">
        <f t="shared" si="42"/>
        <v>0</v>
      </c>
      <c r="M171" s="603">
        <f t="shared" si="42"/>
        <v>0</v>
      </c>
      <c r="N171" s="603">
        <f t="shared" si="42"/>
        <v>0</v>
      </c>
      <c r="O171" s="603">
        <f t="shared" si="42"/>
        <v>0</v>
      </c>
      <c r="P171" s="333">
        <f>SUM(D171:O171)</f>
        <v>0</v>
      </c>
      <c r="S171" s="277"/>
      <c r="T171" s="277"/>
      <c r="U171" s="277"/>
      <c r="V171" s="277"/>
      <c r="W171" s="277"/>
      <c r="X171" s="277"/>
      <c r="Y171" s="277"/>
      <c r="Z171" s="277"/>
      <c r="AA171" s="277"/>
      <c r="AB171" s="277"/>
      <c r="AC171" s="277"/>
      <c r="AD171" s="277"/>
      <c r="AE171" s="277"/>
      <c r="AF171" s="277"/>
      <c r="AG171" s="277"/>
      <c r="AH171" s="277"/>
      <c r="AI171" s="277"/>
      <c r="AJ171" s="216"/>
      <c r="AK171" s="304"/>
      <c r="AL171" s="303"/>
      <c r="AM171" s="216"/>
      <c r="AN171" s="304"/>
      <c r="AO171" s="277"/>
      <c r="AP171" s="303"/>
      <c r="AQ171" s="303"/>
      <c r="AR171" s="304"/>
      <c r="AS171" s="303"/>
      <c r="AT171" s="303"/>
      <c r="AU171" s="303"/>
      <c r="AV171" s="303"/>
      <c r="AW171" s="213"/>
      <c r="AX171" s="213"/>
      <c r="AY171" s="213"/>
      <c r="AZ171" s="213"/>
      <c r="BA171" s="213"/>
      <c r="BB171" s="213"/>
      <c r="BC171" s="213"/>
      <c r="BD171" s="213"/>
      <c r="BE171" s="213"/>
      <c r="BF171" s="213"/>
      <c r="BG171" s="213"/>
      <c r="BH171" s="213"/>
      <c r="BI171" s="213"/>
      <c r="BJ171" s="213"/>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row>
    <row r="172" spans="1:243" ht="15.6">
      <c r="A172" s="170">
        <f>A171+1</f>
        <v>106</v>
      </c>
      <c r="B172" s="327">
        <f>B154</f>
        <v>342</v>
      </c>
      <c r="C172" s="908"/>
      <c r="D172" s="603">
        <f t="shared" ref="D172:O175" si="43">D164*$C172/100/12</f>
        <v>0</v>
      </c>
      <c r="E172" s="603">
        <f t="shared" si="43"/>
        <v>0</v>
      </c>
      <c r="F172" s="603">
        <f t="shared" si="43"/>
        <v>0</v>
      </c>
      <c r="G172" s="603">
        <f t="shared" si="43"/>
        <v>0</v>
      </c>
      <c r="H172" s="603">
        <f t="shared" si="43"/>
        <v>0</v>
      </c>
      <c r="I172" s="603">
        <f t="shared" si="43"/>
        <v>0</v>
      </c>
      <c r="J172" s="603">
        <f t="shared" si="43"/>
        <v>0</v>
      </c>
      <c r="K172" s="603">
        <f t="shared" si="43"/>
        <v>0</v>
      </c>
      <c r="L172" s="603">
        <f t="shared" si="43"/>
        <v>0</v>
      </c>
      <c r="M172" s="603">
        <f t="shared" si="43"/>
        <v>0</v>
      </c>
      <c r="N172" s="603">
        <f t="shared" si="43"/>
        <v>0</v>
      </c>
      <c r="O172" s="603">
        <f t="shared" si="43"/>
        <v>0</v>
      </c>
      <c r="P172" s="333">
        <f>SUM(D172:O172)</f>
        <v>0</v>
      </c>
      <c r="S172" s="277"/>
      <c r="T172" s="277"/>
      <c r="U172" s="277"/>
      <c r="V172" s="277"/>
      <c r="W172" s="277"/>
      <c r="X172" s="277"/>
      <c r="Y172" s="277"/>
      <c r="Z172" s="277"/>
      <c r="AA172" s="277"/>
      <c r="AB172" s="277"/>
      <c r="AC172" s="277"/>
      <c r="AD172" s="277"/>
      <c r="AE172" s="277"/>
      <c r="AF172" s="277"/>
      <c r="AG172" s="277"/>
      <c r="AH172" s="277"/>
      <c r="AI172" s="277"/>
      <c r="AJ172" s="216"/>
      <c r="AK172" s="304"/>
      <c r="AL172" s="303"/>
      <c r="AM172" s="216"/>
      <c r="AN172" s="304"/>
      <c r="AO172" s="277"/>
      <c r="AP172" s="303"/>
      <c r="AQ172" s="303"/>
      <c r="AR172" s="304"/>
      <c r="AS172" s="303"/>
      <c r="AT172" s="303"/>
      <c r="AU172" s="303"/>
      <c r="AV172" s="303"/>
      <c r="AW172" s="213"/>
      <c r="AX172" s="213"/>
      <c r="AY172" s="213"/>
      <c r="AZ172" s="213"/>
      <c r="BA172" s="213"/>
      <c r="BB172" s="213"/>
      <c r="BC172" s="213"/>
      <c r="BD172" s="213"/>
      <c r="BE172" s="213"/>
      <c r="BF172" s="213"/>
      <c r="BG172" s="213"/>
      <c r="BH172" s="213"/>
      <c r="BI172" s="213"/>
      <c r="BJ172" s="213"/>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row>
    <row r="173" spans="1:243" ht="15.6">
      <c r="A173" s="170">
        <f>A172+1</f>
        <v>107</v>
      </c>
      <c r="B173" s="327">
        <f>B155</f>
        <v>344</v>
      </c>
      <c r="C173" s="908"/>
      <c r="D173" s="603">
        <f t="shared" si="43"/>
        <v>0</v>
      </c>
      <c r="E173" s="603">
        <f t="shared" si="43"/>
        <v>0</v>
      </c>
      <c r="F173" s="603">
        <f t="shared" si="43"/>
        <v>0</v>
      </c>
      <c r="G173" s="603">
        <f t="shared" si="43"/>
        <v>0</v>
      </c>
      <c r="H173" s="603">
        <f t="shared" si="43"/>
        <v>0</v>
      </c>
      <c r="I173" s="603">
        <f t="shared" si="43"/>
        <v>0</v>
      </c>
      <c r="J173" s="603">
        <f t="shared" si="43"/>
        <v>0</v>
      </c>
      <c r="K173" s="603">
        <f t="shared" si="43"/>
        <v>0</v>
      </c>
      <c r="L173" s="603">
        <f t="shared" si="43"/>
        <v>0</v>
      </c>
      <c r="M173" s="603">
        <f t="shared" si="43"/>
        <v>0</v>
      </c>
      <c r="N173" s="603">
        <f t="shared" si="43"/>
        <v>0</v>
      </c>
      <c r="O173" s="603">
        <f t="shared" si="43"/>
        <v>0</v>
      </c>
      <c r="P173" s="333">
        <f>SUM(D173:O173)</f>
        <v>0</v>
      </c>
      <c r="S173" s="277"/>
      <c r="T173" s="277"/>
      <c r="U173" s="277"/>
      <c r="V173" s="277"/>
      <c r="W173" s="277"/>
      <c r="X173" s="277"/>
      <c r="Y173" s="277"/>
      <c r="Z173" s="277"/>
      <c r="AA173" s="277"/>
      <c r="AB173" s="277"/>
      <c r="AC173" s="277"/>
      <c r="AD173" s="277"/>
      <c r="AE173" s="277"/>
      <c r="AF173" s="277"/>
      <c r="AG173" s="277"/>
      <c r="AH173" s="277"/>
      <c r="AI173" s="277"/>
      <c r="AJ173" s="216"/>
      <c r="AK173" s="304"/>
      <c r="AL173" s="303"/>
      <c r="AM173" s="216"/>
      <c r="AN173" s="304"/>
      <c r="AO173" s="277"/>
      <c r="AP173" s="303"/>
      <c r="AQ173" s="303"/>
      <c r="AR173" s="304"/>
      <c r="AS173" s="303"/>
      <c r="AT173" s="303"/>
      <c r="AU173" s="303"/>
      <c r="AV173" s="303"/>
      <c r="AW173" s="213"/>
      <c r="AX173" s="213"/>
      <c r="AY173" s="213"/>
      <c r="AZ173" s="213"/>
      <c r="BA173" s="213"/>
      <c r="BB173" s="213"/>
      <c r="BC173" s="213"/>
      <c r="BD173" s="213"/>
      <c r="BE173" s="213"/>
      <c r="BF173" s="213"/>
      <c r="BG173" s="213"/>
      <c r="BH173" s="213"/>
      <c r="BI173" s="213"/>
      <c r="BJ173" s="21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row>
    <row r="174" spans="1:243" ht="15.6">
      <c r="A174" s="170">
        <f>A173+1</f>
        <v>108</v>
      </c>
      <c r="B174" s="327">
        <f>B156</f>
        <v>345</v>
      </c>
      <c r="C174" s="908"/>
      <c r="D174" s="603">
        <f t="shared" si="43"/>
        <v>0</v>
      </c>
      <c r="E174" s="603">
        <f t="shared" si="43"/>
        <v>0</v>
      </c>
      <c r="F174" s="603">
        <f t="shared" si="43"/>
        <v>0</v>
      </c>
      <c r="G174" s="603">
        <f t="shared" si="43"/>
        <v>0</v>
      </c>
      <c r="H174" s="603">
        <f t="shared" si="43"/>
        <v>0</v>
      </c>
      <c r="I174" s="603">
        <f t="shared" si="43"/>
        <v>0</v>
      </c>
      <c r="J174" s="603">
        <f t="shared" si="43"/>
        <v>0</v>
      </c>
      <c r="K174" s="603">
        <f t="shared" si="43"/>
        <v>0</v>
      </c>
      <c r="L174" s="603">
        <f t="shared" si="43"/>
        <v>0</v>
      </c>
      <c r="M174" s="603">
        <f t="shared" si="43"/>
        <v>0</v>
      </c>
      <c r="N174" s="603">
        <f t="shared" si="43"/>
        <v>0</v>
      </c>
      <c r="O174" s="603">
        <f t="shared" si="43"/>
        <v>0</v>
      </c>
      <c r="P174" s="333">
        <f>SUM(D174:O174)</f>
        <v>0</v>
      </c>
      <c r="S174" s="277"/>
      <c r="T174" s="277"/>
      <c r="U174" s="277"/>
      <c r="V174" s="277"/>
      <c r="W174" s="277"/>
      <c r="X174" s="277"/>
      <c r="Y174" s="277"/>
      <c r="Z174" s="277"/>
      <c r="AA174" s="277"/>
      <c r="AB174" s="277"/>
      <c r="AC174" s="277"/>
      <c r="AD174" s="277"/>
      <c r="AE174" s="277"/>
      <c r="AF174" s="277"/>
      <c r="AG174" s="277"/>
      <c r="AH174" s="277"/>
      <c r="AI174" s="277"/>
      <c r="AJ174" s="216"/>
      <c r="AK174" s="304"/>
      <c r="AL174" s="303"/>
      <c r="AM174" s="216"/>
      <c r="AN174" s="304"/>
      <c r="AO174" s="277"/>
      <c r="AP174" s="303"/>
      <c r="AQ174" s="303"/>
      <c r="AR174" s="304"/>
      <c r="AS174" s="303"/>
      <c r="AT174" s="303"/>
      <c r="AU174" s="303"/>
      <c r="AV174" s="303"/>
      <c r="AW174" s="213"/>
      <c r="AX174" s="213"/>
      <c r="AY174" s="213"/>
      <c r="AZ174" s="213"/>
      <c r="BA174" s="213"/>
      <c r="BB174" s="213"/>
      <c r="BC174" s="213"/>
      <c r="BD174" s="213"/>
      <c r="BE174" s="213"/>
      <c r="BF174" s="213"/>
      <c r="BG174" s="213"/>
      <c r="BH174" s="213"/>
      <c r="BI174" s="213"/>
      <c r="BJ174" s="213"/>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row>
    <row r="175" spans="1:243" ht="15.6">
      <c r="A175" s="170">
        <f>A174+1</f>
        <v>109</v>
      </c>
      <c r="B175" s="327">
        <f>B157</f>
        <v>346</v>
      </c>
      <c r="C175" s="908"/>
      <c r="D175" s="603">
        <f t="shared" si="43"/>
        <v>0</v>
      </c>
      <c r="E175" s="603">
        <f t="shared" si="43"/>
        <v>0</v>
      </c>
      <c r="F175" s="603">
        <f t="shared" si="43"/>
        <v>0</v>
      </c>
      <c r="G175" s="603">
        <f t="shared" si="43"/>
        <v>0</v>
      </c>
      <c r="H175" s="603">
        <f t="shared" si="43"/>
        <v>0</v>
      </c>
      <c r="I175" s="603">
        <f t="shared" si="43"/>
        <v>0</v>
      </c>
      <c r="J175" s="603">
        <f t="shared" si="43"/>
        <v>0</v>
      </c>
      <c r="K175" s="603">
        <f t="shared" si="43"/>
        <v>0</v>
      </c>
      <c r="L175" s="603">
        <f t="shared" si="43"/>
        <v>0</v>
      </c>
      <c r="M175" s="603">
        <f t="shared" si="43"/>
        <v>0</v>
      </c>
      <c r="N175" s="603">
        <f t="shared" si="43"/>
        <v>0</v>
      </c>
      <c r="O175" s="603">
        <f t="shared" si="43"/>
        <v>0</v>
      </c>
      <c r="P175" s="333">
        <f>SUM(D175:O175)</f>
        <v>0</v>
      </c>
      <c r="S175" s="277"/>
      <c r="T175" s="277"/>
      <c r="U175" s="277"/>
      <c r="V175" s="277"/>
      <c r="W175" s="277"/>
      <c r="X175" s="277"/>
      <c r="Y175" s="277"/>
      <c r="Z175" s="277"/>
      <c r="AA175" s="277"/>
      <c r="AB175" s="277"/>
      <c r="AC175" s="277"/>
      <c r="AD175" s="277"/>
      <c r="AE175" s="277"/>
      <c r="AF175" s="277"/>
      <c r="AG175" s="277"/>
      <c r="AH175" s="277"/>
      <c r="AI175" s="277"/>
      <c r="AJ175" s="216"/>
      <c r="AK175" s="304"/>
      <c r="AL175" s="303"/>
      <c r="AM175" s="216"/>
      <c r="AN175" s="304"/>
      <c r="AO175" s="277"/>
      <c r="AP175" s="303"/>
      <c r="AQ175" s="303"/>
      <c r="AR175" s="304"/>
      <c r="AS175" s="303"/>
      <c r="AT175" s="303"/>
      <c r="AU175" s="303"/>
      <c r="AV175" s="303"/>
      <c r="AW175" s="213"/>
      <c r="AX175" s="213"/>
      <c r="AY175" s="213"/>
      <c r="AZ175" s="213"/>
      <c r="BA175" s="213"/>
      <c r="BB175" s="213"/>
      <c r="BC175" s="213"/>
      <c r="BD175" s="213"/>
      <c r="BE175" s="213"/>
      <c r="BF175" s="213"/>
      <c r="BG175" s="213"/>
      <c r="BH175" s="213"/>
      <c r="BI175" s="213"/>
      <c r="BJ175" s="213"/>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row>
    <row r="176" spans="1:243" ht="15.6">
      <c r="A176" s="355"/>
      <c r="B176" s="287"/>
      <c r="C176" s="287"/>
      <c r="D176" s="287"/>
      <c r="E176" s="287"/>
      <c r="F176" s="287"/>
      <c r="G176" s="287"/>
      <c r="H176" s="287"/>
      <c r="I176" s="287"/>
      <c r="J176" s="287"/>
      <c r="K176" s="334"/>
      <c r="L176" s="287"/>
      <c r="M176" s="287"/>
      <c r="N176" s="287"/>
      <c r="O176" s="287"/>
      <c r="P176" s="339"/>
      <c r="S176" s="277"/>
      <c r="T176" s="277"/>
      <c r="U176" s="277"/>
      <c r="V176" s="277"/>
      <c r="W176" s="277"/>
      <c r="X176" s="277"/>
      <c r="Y176" s="277"/>
      <c r="Z176" s="277"/>
      <c r="AA176" s="277"/>
      <c r="AB176" s="277"/>
      <c r="AC176" s="277"/>
      <c r="AD176" s="277"/>
      <c r="AE176" s="277"/>
      <c r="AF176" s="277"/>
      <c r="AG176" s="277"/>
      <c r="AH176" s="277"/>
      <c r="AI176" s="277"/>
      <c r="AJ176" s="216"/>
      <c r="AK176" s="304"/>
      <c r="AL176" s="303"/>
      <c r="AM176" s="216"/>
      <c r="AN176" s="304"/>
      <c r="AO176" s="277"/>
      <c r="AP176" s="303"/>
      <c r="AQ176" s="303"/>
      <c r="AR176" s="304"/>
      <c r="AS176" s="303"/>
      <c r="AT176" s="303"/>
      <c r="AU176" s="303"/>
      <c r="AV176" s="303"/>
      <c r="AW176" s="213"/>
      <c r="AX176" s="213"/>
      <c r="AY176" s="213"/>
      <c r="AZ176" s="213"/>
      <c r="BA176" s="213"/>
      <c r="BB176" s="213"/>
      <c r="BC176" s="213"/>
      <c r="BD176" s="213"/>
      <c r="BE176" s="213"/>
      <c r="BF176" s="213"/>
      <c r="BG176" s="213"/>
      <c r="BH176" s="213"/>
      <c r="BI176" s="213"/>
      <c r="BJ176" s="213"/>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row>
    <row r="177" spans="1:243" ht="18.600000000000001">
      <c r="A177" s="355"/>
      <c r="B177" s="355" t="s">
        <v>1078</v>
      </c>
      <c r="C177" s="334" t="s">
        <v>730</v>
      </c>
      <c r="D177" s="1778" t="s">
        <v>731</v>
      </c>
      <c r="E177" s="1779"/>
      <c r="F177" s="1779"/>
      <c r="G177" s="1779"/>
      <c r="H177" s="1779"/>
      <c r="I177" s="1779"/>
      <c r="J177" s="1779"/>
      <c r="K177" s="1779"/>
      <c r="L177" s="1779"/>
      <c r="M177" s="1779"/>
      <c r="N177" s="1779"/>
      <c r="O177" s="1779"/>
      <c r="P177" s="1779"/>
      <c r="S177" s="277"/>
      <c r="T177" s="277"/>
      <c r="U177" s="277"/>
      <c r="V177" s="277"/>
      <c r="W177" s="277"/>
      <c r="X177" s="277"/>
      <c r="Y177" s="277"/>
      <c r="Z177" s="277"/>
      <c r="AA177" s="277"/>
      <c r="AB177" s="277"/>
      <c r="AC177" s="277"/>
      <c r="AD177" s="277"/>
      <c r="AE177" s="277"/>
      <c r="AF177" s="277"/>
      <c r="AG177" s="277"/>
      <c r="AH177" s="277"/>
      <c r="AI177" s="277"/>
      <c r="AJ177" s="216"/>
      <c r="AK177" s="304"/>
      <c r="AL177" s="303"/>
      <c r="AM177" s="216"/>
      <c r="AN177" s="304"/>
      <c r="AO177" s="277"/>
      <c r="AP177" s="303"/>
      <c r="AQ177" s="303"/>
      <c r="AR177" s="304"/>
      <c r="AS177" s="303"/>
      <c r="AT177" s="303"/>
      <c r="AU177" s="303"/>
      <c r="AV177" s="303"/>
      <c r="AW177" s="213"/>
      <c r="AX177" s="213"/>
      <c r="AY177" s="213"/>
      <c r="AZ177" s="213"/>
      <c r="BA177" s="213"/>
      <c r="BB177" s="213"/>
      <c r="BC177" s="213"/>
      <c r="BD177" s="213"/>
      <c r="BE177" s="213"/>
      <c r="BF177" s="213"/>
      <c r="BG177" s="213"/>
      <c r="BH177" s="213"/>
      <c r="BI177" s="213"/>
      <c r="BJ177" s="213"/>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row>
    <row r="178" spans="1:243" ht="18.600000000000001">
      <c r="A178" s="355"/>
      <c r="B178" s="322" t="s">
        <v>928</v>
      </c>
      <c r="C178" s="335" t="s">
        <v>732</v>
      </c>
      <c r="D178" s="358" t="s">
        <v>716</v>
      </c>
      <c r="E178" s="358" t="s">
        <v>717</v>
      </c>
      <c r="F178" s="358" t="s">
        <v>718</v>
      </c>
      <c r="G178" s="358" t="s">
        <v>719</v>
      </c>
      <c r="H178" s="358" t="s">
        <v>720</v>
      </c>
      <c r="I178" s="358" t="s">
        <v>721</v>
      </c>
      <c r="J178" s="358" t="s">
        <v>722</v>
      </c>
      <c r="K178" s="358" t="s">
        <v>723</v>
      </c>
      <c r="L178" s="358" t="s">
        <v>724</v>
      </c>
      <c r="M178" s="358" t="s">
        <v>725</v>
      </c>
      <c r="N178" s="358" t="s">
        <v>726</v>
      </c>
      <c r="O178" s="358" t="s">
        <v>715</v>
      </c>
      <c r="P178" s="360" t="s">
        <v>628</v>
      </c>
      <c r="S178" s="277"/>
      <c r="T178" s="277"/>
      <c r="U178" s="277"/>
      <c r="V178" s="277"/>
      <c r="W178" s="277"/>
      <c r="X178" s="277"/>
      <c r="Y178" s="277"/>
      <c r="Z178" s="277"/>
      <c r="AA178" s="277"/>
      <c r="AB178" s="277"/>
      <c r="AC178" s="277"/>
      <c r="AD178" s="277"/>
      <c r="AE178" s="277"/>
      <c r="AF178" s="277"/>
      <c r="AG178" s="277"/>
      <c r="AH178" s="277"/>
      <c r="AI178" s="277"/>
      <c r="AJ178" s="216"/>
      <c r="AK178" s="304"/>
      <c r="AL178" s="303"/>
      <c r="AM178" s="216"/>
      <c r="AN178" s="304"/>
      <c r="AO178" s="277"/>
      <c r="AP178" s="303"/>
      <c r="AQ178" s="303"/>
      <c r="AR178" s="304"/>
      <c r="AS178" s="303"/>
      <c r="AT178" s="303"/>
      <c r="AU178" s="303"/>
      <c r="AV178" s="303"/>
      <c r="AW178" s="213"/>
      <c r="AX178" s="213"/>
      <c r="AY178" s="213"/>
      <c r="AZ178" s="213"/>
      <c r="BA178" s="213"/>
      <c r="BB178" s="213"/>
      <c r="BC178" s="213"/>
      <c r="BD178" s="213"/>
      <c r="BE178" s="213"/>
      <c r="BF178" s="213"/>
      <c r="BG178" s="213"/>
      <c r="BH178" s="213"/>
      <c r="BI178" s="213"/>
      <c r="BJ178" s="213"/>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row>
    <row r="179" spans="1:243" ht="15.6">
      <c r="A179" s="170">
        <f>A175+1</f>
        <v>110</v>
      </c>
      <c r="B179" s="327">
        <f>B163</f>
        <v>341</v>
      </c>
      <c r="C179" s="907">
        <v>0</v>
      </c>
      <c r="D179" s="603">
        <f>C179+D171</f>
        <v>0</v>
      </c>
      <c r="E179" s="603">
        <f t="shared" ref="E179:O183" si="44">D179+E171</f>
        <v>0</v>
      </c>
      <c r="F179" s="603">
        <f t="shared" si="44"/>
        <v>0</v>
      </c>
      <c r="G179" s="603">
        <f t="shared" si="44"/>
        <v>0</v>
      </c>
      <c r="H179" s="603">
        <f t="shared" si="44"/>
        <v>0</v>
      </c>
      <c r="I179" s="603">
        <f t="shared" si="44"/>
        <v>0</v>
      </c>
      <c r="J179" s="603">
        <f t="shared" si="44"/>
        <v>0</v>
      </c>
      <c r="K179" s="603">
        <f t="shared" si="44"/>
        <v>0</v>
      </c>
      <c r="L179" s="603">
        <f t="shared" si="44"/>
        <v>0</v>
      </c>
      <c r="M179" s="603">
        <f t="shared" si="44"/>
        <v>0</v>
      </c>
      <c r="N179" s="603">
        <f t="shared" si="44"/>
        <v>0</v>
      </c>
      <c r="O179" s="603">
        <f t="shared" si="44"/>
        <v>0</v>
      </c>
      <c r="P179" s="333">
        <f>O179</f>
        <v>0</v>
      </c>
      <c r="S179" s="277"/>
      <c r="T179" s="277"/>
      <c r="U179" s="277"/>
      <c r="V179" s="277"/>
      <c r="W179" s="277"/>
      <c r="X179" s="277"/>
      <c r="Y179" s="277"/>
      <c r="Z179" s="277"/>
      <c r="AA179" s="277"/>
      <c r="AB179" s="277"/>
      <c r="AC179" s="277"/>
      <c r="AD179" s="277"/>
      <c r="AE179" s="277"/>
      <c r="AF179" s="277"/>
      <c r="AG179" s="277"/>
      <c r="AH179" s="277"/>
      <c r="AI179" s="277"/>
      <c r="AJ179" s="216"/>
      <c r="AK179" s="304"/>
      <c r="AL179" s="303"/>
      <c r="AM179" s="216"/>
      <c r="AN179" s="304"/>
      <c r="AO179" s="277"/>
      <c r="AP179" s="303"/>
      <c r="AQ179" s="303"/>
      <c r="AR179" s="304"/>
      <c r="AS179" s="303"/>
      <c r="AT179" s="303"/>
      <c r="AU179" s="303"/>
      <c r="AV179" s="303"/>
      <c r="AW179" s="213"/>
      <c r="AX179" s="213"/>
      <c r="AY179" s="213"/>
      <c r="AZ179" s="213"/>
      <c r="BA179" s="213"/>
      <c r="BB179" s="213"/>
      <c r="BC179" s="213"/>
      <c r="BD179" s="213"/>
      <c r="BE179" s="213"/>
      <c r="BF179" s="213"/>
      <c r="BG179" s="213"/>
      <c r="BH179" s="213"/>
      <c r="BI179" s="213"/>
      <c r="BJ179" s="213"/>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row>
    <row r="180" spans="1:243" ht="15.6">
      <c r="A180" s="170">
        <f>A179+1</f>
        <v>111</v>
      </c>
      <c r="B180" s="327">
        <f>B164</f>
        <v>342</v>
      </c>
      <c r="C180" s="907">
        <v>0</v>
      </c>
      <c r="D180" s="603">
        <f>C180+D172</f>
        <v>0</v>
      </c>
      <c r="E180" s="603">
        <f t="shared" si="44"/>
        <v>0</v>
      </c>
      <c r="F180" s="603">
        <f t="shared" si="44"/>
        <v>0</v>
      </c>
      <c r="G180" s="603">
        <f t="shared" si="44"/>
        <v>0</v>
      </c>
      <c r="H180" s="603">
        <f t="shared" si="44"/>
        <v>0</v>
      </c>
      <c r="I180" s="603">
        <f t="shared" si="44"/>
        <v>0</v>
      </c>
      <c r="J180" s="603">
        <f t="shared" si="44"/>
        <v>0</v>
      </c>
      <c r="K180" s="603">
        <f t="shared" si="44"/>
        <v>0</v>
      </c>
      <c r="L180" s="603">
        <f t="shared" si="44"/>
        <v>0</v>
      </c>
      <c r="M180" s="603">
        <f t="shared" si="44"/>
        <v>0</v>
      </c>
      <c r="N180" s="603">
        <f t="shared" si="44"/>
        <v>0</v>
      </c>
      <c r="O180" s="603">
        <f t="shared" si="44"/>
        <v>0</v>
      </c>
      <c r="P180" s="333">
        <f>O180</f>
        <v>0</v>
      </c>
      <c r="S180" s="277"/>
      <c r="T180" s="277"/>
      <c r="U180" s="277"/>
      <c r="V180" s="277"/>
      <c r="W180" s="277"/>
      <c r="X180" s="277"/>
      <c r="Y180" s="277"/>
      <c r="Z180" s="277"/>
      <c r="AA180" s="277"/>
      <c r="AB180" s="277"/>
      <c r="AC180" s="277"/>
      <c r="AD180" s="277"/>
      <c r="AE180" s="277"/>
      <c r="AF180" s="277"/>
      <c r="AG180" s="277"/>
      <c r="AH180" s="277"/>
      <c r="AI180" s="277"/>
      <c r="AJ180" s="216"/>
      <c r="AK180" s="304"/>
      <c r="AL180" s="303"/>
      <c r="AM180" s="216"/>
      <c r="AN180" s="304"/>
      <c r="AO180" s="277"/>
      <c r="AP180" s="303"/>
      <c r="AQ180" s="303"/>
      <c r="AR180" s="304"/>
      <c r="AS180" s="303"/>
      <c r="AT180" s="303"/>
      <c r="AU180" s="303"/>
      <c r="AV180" s="303"/>
      <c r="AW180" s="213"/>
      <c r="AX180" s="213"/>
      <c r="AY180" s="213"/>
      <c r="AZ180" s="213"/>
      <c r="BA180" s="213"/>
      <c r="BB180" s="213"/>
      <c r="BC180" s="213"/>
      <c r="BD180" s="213"/>
      <c r="BE180" s="213"/>
      <c r="BF180" s="213"/>
      <c r="BG180" s="213"/>
      <c r="BH180" s="213"/>
      <c r="BI180" s="213"/>
      <c r="BJ180" s="213"/>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row>
    <row r="181" spans="1:243" ht="15.6">
      <c r="A181" s="170">
        <f>A180+1</f>
        <v>112</v>
      </c>
      <c r="B181" s="327">
        <f>B165</f>
        <v>344</v>
      </c>
      <c r="C181" s="907">
        <v>0</v>
      </c>
      <c r="D181" s="603">
        <f>C181+D173</f>
        <v>0</v>
      </c>
      <c r="E181" s="603">
        <f t="shared" si="44"/>
        <v>0</v>
      </c>
      <c r="F181" s="603">
        <f t="shared" si="44"/>
        <v>0</v>
      </c>
      <c r="G181" s="603">
        <f t="shared" si="44"/>
        <v>0</v>
      </c>
      <c r="H181" s="603">
        <f t="shared" si="44"/>
        <v>0</v>
      </c>
      <c r="I181" s="603">
        <f t="shared" si="44"/>
        <v>0</v>
      </c>
      <c r="J181" s="603">
        <f t="shared" si="44"/>
        <v>0</v>
      </c>
      <c r="K181" s="603">
        <f t="shared" si="44"/>
        <v>0</v>
      </c>
      <c r="L181" s="603">
        <f t="shared" si="44"/>
        <v>0</v>
      </c>
      <c r="M181" s="603">
        <f t="shared" si="44"/>
        <v>0</v>
      </c>
      <c r="N181" s="603">
        <f t="shared" si="44"/>
        <v>0</v>
      </c>
      <c r="O181" s="603">
        <f t="shared" si="44"/>
        <v>0</v>
      </c>
      <c r="P181" s="333">
        <f>O181</f>
        <v>0</v>
      </c>
      <c r="S181" s="277"/>
      <c r="T181" s="277"/>
      <c r="U181" s="277"/>
      <c r="V181" s="277"/>
      <c r="W181" s="277"/>
      <c r="X181" s="277"/>
      <c r="Y181" s="277"/>
      <c r="Z181" s="277"/>
      <c r="AA181" s="277"/>
      <c r="AB181" s="277"/>
      <c r="AC181" s="277"/>
      <c r="AD181" s="277"/>
      <c r="AE181" s="277"/>
      <c r="AF181" s="277"/>
      <c r="AG181" s="277"/>
      <c r="AH181" s="277"/>
      <c r="AI181" s="277"/>
      <c r="AJ181" s="216"/>
      <c r="AK181" s="304"/>
      <c r="AL181" s="303"/>
      <c r="AM181" s="216"/>
      <c r="AN181" s="304"/>
      <c r="AO181" s="277"/>
      <c r="AP181" s="303"/>
      <c r="AQ181" s="303"/>
      <c r="AR181" s="304"/>
      <c r="AS181" s="303"/>
      <c r="AT181" s="303"/>
      <c r="AU181" s="303"/>
      <c r="AV181" s="303"/>
      <c r="AW181" s="213"/>
      <c r="AX181" s="213"/>
      <c r="AY181" s="213"/>
      <c r="AZ181" s="213"/>
      <c r="BA181" s="213"/>
      <c r="BB181" s="213"/>
      <c r="BC181" s="213"/>
      <c r="BD181" s="213"/>
      <c r="BE181" s="213"/>
      <c r="BF181" s="213"/>
      <c r="BG181" s="213"/>
      <c r="BH181" s="213"/>
      <c r="BI181" s="213"/>
      <c r="BJ181" s="213"/>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row>
    <row r="182" spans="1:243" ht="15.6">
      <c r="A182" s="170">
        <f>A181+1</f>
        <v>113</v>
      </c>
      <c r="B182" s="327">
        <f>B166</f>
        <v>345</v>
      </c>
      <c r="C182" s="907">
        <v>0</v>
      </c>
      <c r="D182" s="603">
        <f>C182+D174</f>
        <v>0</v>
      </c>
      <c r="E182" s="603">
        <f t="shared" si="44"/>
        <v>0</v>
      </c>
      <c r="F182" s="603">
        <f t="shared" si="44"/>
        <v>0</v>
      </c>
      <c r="G182" s="603">
        <f t="shared" si="44"/>
        <v>0</v>
      </c>
      <c r="H182" s="603">
        <f t="shared" si="44"/>
        <v>0</v>
      </c>
      <c r="I182" s="603">
        <f t="shared" si="44"/>
        <v>0</v>
      </c>
      <c r="J182" s="603">
        <f t="shared" si="44"/>
        <v>0</v>
      </c>
      <c r="K182" s="603">
        <f t="shared" si="44"/>
        <v>0</v>
      </c>
      <c r="L182" s="603">
        <f t="shared" si="44"/>
        <v>0</v>
      </c>
      <c r="M182" s="603">
        <f t="shared" si="44"/>
        <v>0</v>
      </c>
      <c r="N182" s="603">
        <f t="shared" si="44"/>
        <v>0</v>
      </c>
      <c r="O182" s="603">
        <f t="shared" si="44"/>
        <v>0</v>
      </c>
      <c r="P182" s="333">
        <f>O182</f>
        <v>0</v>
      </c>
      <c r="S182" s="277"/>
      <c r="T182" s="277"/>
      <c r="U182" s="277"/>
      <c r="V182" s="277"/>
      <c r="W182" s="277"/>
      <c r="X182" s="277"/>
      <c r="Y182" s="277"/>
      <c r="Z182" s="277"/>
      <c r="AA182" s="277"/>
      <c r="AB182" s="277"/>
      <c r="AC182" s="277"/>
      <c r="AD182" s="277"/>
      <c r="AE182" s="277"/>
      <c r="AF182" s="277"/>
      <c r="AG182" s="277"/>
      <c r="AH182" s="277"/>
      <c r="AI182" s="277"/>
      <c r="AJ182" s="216"/>
      <c r="AK182" s="304"/>
      <c r="AL182" s="303"/>
      <c r="AM182" s="216"/>
      <c r="AN182" s="304"/>
      <c r="AO182" s="277"/>
      <c r="AP182" s="303"/>
      <c r="AQ182" s="303"/>
      <c r="AR182" s="304"/>
      <c r="AS182" s="303"/>
      <c r="AT182" s="303"/>
      <c r="AU182" s="303"/>
      <c r="AV182" s="303"/>
      <c r="AW182" s="213"/>
      <c r="AX182" s="213"/>
      <c r="AY182" s="213"/>
      <c r="AZ182" s="213"/>
      <c r="BA182" s="213"/>
      <c r="BB182" s="213"/>
      <c r="BC182" s="213"/>
      <c r="BD182" s="213"/>
      <c r="BE182" s="213"/>
      <c r="BF182" s="213"/>
      <c r="BG182" s="213"/>
      <c r="BH182" s="213"/>
      <c r="BI182" s="213"/>
      <c r="BJ182" s="213"/>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row>
    <row r="183" spans="1:243" ht="15.6">
      <c r="A183" s="170">
        <f>A182+1</f>
        <v>114</v>
      </c>
      <c r="B183" s="327">
        <f>B167</f>
        <v>346</v>
      </c>
      <c r="C183" s="907">
        <v>0</v>
      </c>
      <c r="D183" s="603">
        <f>C183+D175</f>
        <v>0</v>
      </c>
      <c r="E183" s="603">
        <f t="shared" si="44"/>
        <v>0</v>
      </c>
      <c r="F183" s="603">
        <f t="shared" si="44"/>
        <v>0</v>
      </c>
      <c r="G183" s="603">
        <f t="shared" si="44"/>
        <v>0</v>
      </c>
      <c r="H183" s="603">
        <f t="shared" si="44"/>
        <v>0</v>
      </c>
      <c r="I183" s="603">
        <f t="shared" si="44"/>
        <v>0</v>
      </c>
      <c r="J183" s="603">
        <f t="shared" si="44"/>
        <v>0</v>
      </c>
      <c r="K183" s="603">
        <f t="shared" si="44"/>
        <v>0</v>
      </c>
      <c r="L183" s="603">
        <f t="shared" si="44"/>
        <v>0</v>
      </c>
      <c r="M183" s="603">
        <f t="shared" si="44"/>
        <v>0</v>
      </c>
      <c r="N183" s="603">
        <f t="shared" si="44"/>
        <v>0</v>
      </c>
      <c r="O183" s="603">
        <f t="shared" si="44"/>
        <v>0</v>
      </c>
      <c r="P183" s="333">
        <f>O183</f>
        <v>0</v>
      </c>
      <c r="S183" s="277"/>
      <c r="T183" s="277"/>
      <c r="U183" s="277"/>
      <c r="V183" s="277"/>
      <c r="W183" s="277"/>
      <c r="X183" s="277"/>
      <c r="Y183" s="277"/>
      <c r="Z183" s="277"/>
      <c r="AA183" s="277"/>
      <c r="AB183" s="277"/>
      <c r="AC183" s="277"/>
      <c r="AD183" s="277"/>
      <c r="AE183" s="277"/>
      <c r="AF183" s="277"/>
      <c r="AG183" s="277"/>
      <c r="AH183" s="277"/>
      <c r="AI183" s="277"/>
      <c r="AJ183" s="216"/>
      <c r="AK183" s="304"/>
      <c r="AL183" s="303"/>
      <c r="AM183" s="216"/>
      <c r="AN183" s="304"/>
      <c r="AO183" s="277"/>
      <c r="AP183" s="303"/>
      <c r="AQ183" s="303"/>
      <c r="AR183" s="304"/>
      <c r="AS183" s="303"/>
      <c r="AT183" s="303"/>
      <c r="AU183" s="303"/>
      <c r="AV183" s="303"/>
      <c r="AW183" s="213"/>
      <c r="AX183" s="213"/>
      <c r="AY183" s="213"/>
      <c r="AZ183" s="213"/>
      <c r="BA183" s="213"/>
      <c r="BB183" s="213"/>
      <c r="BC183" s="213"/>
      <c r="BD183" s="213"/>
      <c r="BE183" s="213"/>
      <c r="BF183" s="213"/>
      <c r="BG183" s="213"/>
      <c r="BH183" s="213"/>
      <c r="BI183" s="213"/>
      <c r="BJ183" s="21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row>
    <row r="184" spans="1:243" ht="15.6">
      <c r="A184" s="170"/>
      <c r="B184" s="327"/>
      <c r="C184" s="328"/>
      <c r="D184" s="328"/>
      <c r="E184" s="328"/>
      <c r="F184" s="328"/>
      <c r="G184" s="328"/>
      <c r="H184" s="328"/>
      <c r="I184" s="328"/>
      <c r="J184" s="328"/>
      <c r="K184" s="328"/>
      <c r="L184" s="328"/>
      <c r="M184" s="328"/>
      <c r="N184" s="328"/>
      <c r="O184" s="328"/>
      <c r="P184" s="333"/>
      <c r="S184" s="277"/>
      <c r="T184" s="277"/>
      <c r="U184" s="277"/>
      <c r="V184" s="277"/>
      <c r="W184" s="277"/>
      <c r="X184" s="277"/>
      <c r="Y184" s="277"/>
      <c r="Z184" s="277"/>
      <c r="AA184" s="277"/>
      <c r="AB184" s="277"/>
      <c r="AC184" s="277"/>
      <c r="AD184" s="277"/>
      <c r="AE184" s="277"/>
      <c r="AF184" s="277"/>
      <c r="AG184" s="277"/>
      <c r="AH184" s="277"/>
      <c r="AI184" s="277"/>
      <c r="AJ184" s="216"/>
      <c r="AK184" s="304"/>
      <c r="AL184" s="303"/>
      <c r="AM184" s="216"/>
      <c r="AN184" s="304"/>
      <c r="AO184" s="277"/>
      <c r="AP184" s="303"/>
      <c r="AQ184" s="303"/>
      <c r="AR184" s="304"/>
      <c r="AS184" s="303"/>
      <c r="AT184" s="303"/>
      <c r="AU184" s="303"/>
      <c r="AV184" s="303"/>
      <c r="AW184" s="213"/>
      <c r="AX184" s="213"/>
      <c r="AY184" s="213"/>
      <c r="AZ184" s="213"/>
      <c r="BA184" s="213"/>
      <c r="BB184" s="213"/>
      <c r="BC184" s="213"/>
      <c r="BD184" s="213"/>
      <c r="BE184" s="213"/>
      <c r="BF184" s="213"/>
      <c r="BG184" s="213"/>
      <c r="BH184" s="213"/>
      <c r="BI184" s="213"/>
      <c r="BJ184" s="213"/>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row>
    <row r="185" spans="1:243" ht="15.6">
      <c r="A185" s="336" t="s">
        <v>713</v>
      </c>
      <c r="B185" s="342"/>
      <c r="C185" s="341" t="s">
        <v>476</v>
      </c>
      <c r="D185" s="287"/>
      <c r="E185" s="287"/>
      <c r="F185" s="287"/>
      <c r="G185" s="287"/>
      <c r="H185" s="287"/>
      <c r="I185" s="287"/>
      <c r="J185" s="287"/>
      <c r="K185" s="334"/>
      <c r="L185" s="287"/>
      <c r="M185" s="287"/>
      <c r="N185" s="287"/>
      <c r="O185" s="287"/>
      <c r="P185" s="339"/>
      <c r="S185" s="277"/>
      <c r="T185" s="277"/>
      <c r="U185" s="277"/>
      <c r="V185" s="277"/>
      <c r="W185" s="277"/>
      <c r="X185" s="277"/>
      <c r="Y185" s="277"/>
      <c r="Z185" s="277"/>
      <c r="AA185" s="277"/>
      <c r="AB185" s="277"/>
      <c r="AC185" s="277"/>
      <c r="AD185" s="277"/>
      <c r="AE185" s="277"/>
      <c r="AF185" s="277"/>
      <c r="AG185" s="277"/>
      <c r="AH185" s="277"/>
      <c r="AI185" s="277"/>
      <c r="AJ185" s="216"/>
      <c r="AK185" s="304"/>
      <c r="AL185" s="303"/>
      <c r="AM185" s="216"/>
      <c r="AN185" s="304"/>
      <c r="AO185" s="277"/>
      <c r="AP185" s="303"/>
      <c r="AQ185" s="303"/>
      <c r="AR185" s="304"/>
      <c r="AS185" s="303"/>
      <c r="AT185" s="303"/>
      <c r="AU185" s="303"/>
      <c r="AV185" s="303"/>
      <c r="AW185" s="213"/>
      <c r="AX185" s="213"/>
      <c r="AY185" s="213"/>
      <c r="AZ185" s="213"/>
      <c r="BA185" s="213"/>
      <c r="BB185" s="213"/>
      <c r="BC185" s="213"/>
      <c r="BD185" s="213"/>
      <c r="BE185" s="213"/>
      <c r="BF185" s="213"/>
      <c r="BG185" s="213"/>
      <c r="BH185" s="213"/>
      <c r="BI185" s="213"/>
      <c r="BJ185" s="213"/>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row>
    <row r="186" spans="1:243" ht="15.6">
      <c r="A186" s="355"/>
      <c r="B186" s="356"/>
      <c r="C186" s="287"/>
      <c r="D186" s="287"/>
      <c r="E186" s="287"/>
      <c r="F186" s="287"/>
      <c r="G186" s="287"/>
      <c r="H186" s="287"/>
      <c r="I186" s="287"/>
      <c r="J186" s="287"/>
      <c r="K186" s="334"/>
      <c r="L186" s="287"/>
      <c r="M186" s="287"/>
      <c r="N186" s="287"/>
      <c r="O186" s="287"/>
      <c r="P186" s="339"/>
      <c r="S186" s="277"/>
      <c r="T186" s="277"/>
      <c r="U186" s="277"/>
      <c r="V186" s="277"/>
      <c r="W186" s="277"/>
      <c r="X186" s="277"/>
      <c r="Y186" s="277"/>
      <c r="Z186" s="277"/>
      <c r="AA186" s="277"/>
      <c r="AB186" s="277"/>
      <c r="AC186" s="277"/>
      <c r="AD186" s="277"/>
      <c r="AE186" s="277"/>
      <c r="AF186" s="277"/>
      <c r="AG186" s="277"/>
      <c r="AH186" s="277"/>
      <c r="AI186" s="277"/>
      <c r="AJ186" s="216"/>
      <c r="AK186" s="304"/>
      <c r="AL186" s="303"/>
      <c r="AM186" s="216"/>
      <c r="AN186" s="304"/>
      <c r="AO186" s="277"/>
      <c r="AP186" s="303"/>
      <c r="AQ186" s="303"/>
      <c r="AR186" s="304"/>
      <c r="AS186" s="303"/>
      <c r="AT186" s="303"/>
      <c r="AU186" s="303"/>
      <c r="AV186" s="303"/>
      <c r="AW186" s="213"/>
      <c r="AX186" s="213"/>
      <c r="AY186" s="213"/>
      <c r="AZ186" s="213"/>
      <c r="BA186" s="213"/>
      <c r="BB186" s="213"/>
      <c r="BC186" s="213"/>
      <c r="BD186" s="213"/>
      <c r="BE186" s="213"/>
      <c r="BF186" s="213"/>
      <c r="BG186" s="213"/>
      <c r="BH186" s="213"/>
      <c r="BI186" s="213"/>
      <c r="BJ186" s="213"/>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row>
    <row r="187" spans="1:243" ht="18.600000000000001">
      <c r="A187" s="355" t="s">
        <v>494</v>
      </c>
      <c r="B187" s="355" t="s">
        <v>1078</v>
      </c>
      <c r="C187" s="334"/>
      <c r="D187" s="1778" t="s">
        <v>714</v>
      </c>
      <c r="E187" s="1779"/>
      <c r="F187" s="1779"/>
      <c r="G187" s="1779"/>
      <c r="H187" s="1779"/>
      <c r="I187" s="1779"/>
      <c r="J187" s="1779"/>
      <c r="K187" s="1779"/>
      <c r="L187" s="1779"/>
      <c r="M187" s="1779"/>
      <c r="N187" s="1779"/>
      <c r="O187" s="1779"/>
      <c r="P187" s="357"/>
      <c r="S187" s="277"/>
      <c r="T187" s="277"/>
      <c r="U187" s="277"/>
      <c r="V187" s="277"/>
      <c r="W187" s="277"/>
      <c r="X187" s="277"/>
      <c r="Y187" s="277"/>
      <c r="Z187" s="277"/>
      <c r="AA187" s="277"/>
      <c r="AB187" s="277"/>
      <c r="AC187" s="277"/>
      <c r="AD187" s="277"/>
      <c r="AE187" s="277"/>
      <c r="AF187" s="277"/>
      <c r="AG187" s="277"/>
      <c r="AH187" s="277"/>
      <c r="AI187" s="277"/>
      <c r="AJ187" s="216"/>
      <c r="AK187" s="304"/>
      <c r="AL187" s="303"/>
      <c r="AM187" s="216"/>
      <c r="AN187" s="304"/>
      <c r="AO187" s="277"/>
      <c r="AP187" s="303"/>
      <c r="AQ187" s="303"/>
      <c r="AR187" s="304"/>
      <c r="AS187" s="303"/>
      <c r="AT187" s="303"/>
      <c r="AU187" s="303"/>
      <c r="AV187" s="303"/>
      <c r="AW187" s="213"/>
      <c r="AX187" s="213"/>
      <c r="AY187" s="213"/>
      <c r="AZ187" s="213"/>
      <c r="BA187" s="213"/>
      <c r="BB187" s="213"/>
      <c r="BC187" s="213"/>
      <c r="BD187" s="213"/>
      <c r="BE187" s="213"/>
      <c r="BF187" s="213"/>
      <c r="BG187" s="213"/>
      <c r="BH187" s="213"/>
      <c r="BI187" s="213"/>
      <c r="BJ187" s="213"/>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row>
    <row r="188" spans="1:243" ht="15.6">
      <c r="A188" s="322" t="s">
        <v>928</v>
      </c>
      <c r="B188" s="322" t="s">
        <v>928</v>
      </c>
      <c r="C188" s="335"/>
      <c r="D188" s="358" t="s">
        <v>715</v>
      </c>
      <c r="E188" s="358" t="s">
        <v>716</v>
      </c>
      <c r="F188" s="358" t="s">
        <v>717</v>
      </c>
      <c r="G188" s="358" t="s">
        <v>718</v>
      </c>
      <c r="H188" s="358" t="s">
        <v>719</v>
      </c>
      <c r="I188" s="358" t="s">
        <v>720</v>
      </c>
      <c r="J188" s="358" t="s">
        <v>721</v>
      </c>
      <c r="K188" s="358" t="s">
        <v>722</v>
      </c>
      <c r="L188" s="358" t="s">
        <v>723</v>
      </c>
      <c r="M188" s="358" t="s">
        <v>724</v>
      </c>
      <c r="N188" s="358" t="s">
        <v>725</v>
      </c>
      <c r="O188" s="358" t="s">
        <v>726</v>
      </c>
      <c r="P188" s="359"/>
      <c r="S188" s="277"/>
      <c r="T188" s="277"/>
      <c r="U188" s="277"/>
      <c r="V188" s="277"/>
      <c r="W188" s="277"/>
      <c r="X188" s="277"/>
      <c r="Y188" s="277"/>
      <c r="Z188" s="277"/>
      <c r="AA188" s="277"/>
      <c r="AB188" s="277"/>
      <c r="AC188" s="277"/>
      <c r="AD188" s="277"/>
      <c r="AE188" s="277"/>
      <c r="AF188" s="277"/>
      <c r="AG188" s="277"/>
      <c r="AH188" s="277"/>
      <c r="AI188" s="277"/>
      <c r="AJ188" s="216"/>
      <c r="AK188" s="304"/>
      <c r="AL188" s="303"/>
      <c r="AM188" s="216"/>
      <c r="AN188" s="304"/>
      <c r="AO188" s="277"/>
      <c r="AP188" s="303"/>
      <c r="AQ188" s="303"/>
      <c r="AR188" s="304"/>
      <c r="AS188" s="303"/>
      <c r="AT188" s="303"/>
      <c r="AU188" s="303"/>
      <c r="AV188" s="303"/>
      <c r="AW188" s="213"/>
      <c r="AX188" s="213"/>
      <c r="AY188" s="213"/>
      <c r="AZ188" s="213"/>
      <c r="BA188" s="213"/>
      <c r="BB188" s="213"/>
      <c r="BC188" s="213"/>
      <c r="BD188" s="213"/>
      <c r="BE188" s="213"/>
      <c r="BF188" s="213"/>
      <c r="BG188" s="213"/>
      <c r="BH188" s="213"/>
      <c r="BI188" s="213"/>
      <c r="BJ188" s="213"/>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row>
    <row r="189" spans="1:243" ht="15.6">
      <c r="A189" s="170">
        <f>A183+1</f>
        <v>115</v>
      </c>
      <c r="B189" s="327">
        <v>341</v>
      </c>
      <c r="C189" s="287"/>
      <c r="D189" s="905">
        <v>0</v>
      </c>
      <c r="E189" s="905">
        <v>0</v>
      </c>
      <c r="F189" s="905">
        <v>0</v>
      </c>
      <c r="G189" s="905">
        <v>0</v>
      </c>
      <c r="H189" s="905">
        <v>0</v>
      </c>
      <c r="I189" s="905">
        <v>0</v>
      </c>
      <c r="J189" s="905">
        <v>0</v>
      </c>
      <c r="K189" s="905">
        <v>0</v>
      </c>
      <c r="L189" s="905">
        <v>0</v>
      </c>
      <c r="M189" s="905">
        <v>0</v>
      </c>
      <c r="N189" s="905">
        <v>0</v>
      </c>
      <c r="O189" s="905">
        <v>0</v>
      </c>
      <c r="P189" s="339"/>
      <c r="S189" s="277"/>
      <c r="T189" s="277"/>
      <c r="U189" s="277"/>
      <c r="V189" s="277"/>
      <c r="W189" s="277"/>
      <c r="X189" s="277"/>
      <c r="Y189" s="277"/>
      <c r="Z189" s="277"/>
      <c r="AA189" s="277"/>
      <c r="AB189" s="277"/>
      <c r="AC189" s="277"/>
      <c r="AD189" s="277"/>
      <c r="AE189" s="277"/>
      <c r="AF189" s="277"/>
      <c r="AG189" s="277"/>
      <c r="AH189" s="277"/>
      <c r="AI189" s="277"/>
      <c r="AJ189" s="216"/>
      <c r="AK189" s="304"/>
      <c r="AL189" s="303"/>
      <c r="AM189" s="216"/>
      <c r="AN189" s="304"/>
      <c r="AO189" s="277"/>
      <c r="AP189" s="303"/>
      <c r="AQ189" s="303"/>
      <c r="AR189" s="304"/>
      <c r="AS189" s="303"/>
      <c r="AT189" s="303"/>
      <c r="AU189" s="303"/>
      <c r="AV189" s="303"/>
      <c r="AW189" s="213"/>
      <c r="AX189" s="213"/>
      <c r="AY189" s="213"/>
      <c r="AZ189" s="213"/>
      <c r="BA189" s="213"/>
      <c r="BB189" s="213"/>
      <c r="BC189" s="213"/>
      <c r="BD189" s="213"/>
      <c r="BE189" s="213"/>
      <c r="BF189" s="213"/>
      <c r="BG189" s="213"/>
      <c r="BH189" s="213"/>
      <c r="BI189" s="213"/>
      <c r="BJ189" s="213"/>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row>
    <row r="190" spans="1:243" ht="15.6">
      <c r="A190" s="170">
        <f>A189+1</f>
        <v>116</v>
      </c>
      <c r="B190" s="327">
        <v>342</v>
      </c>
      <c r="C190" s="287"/>
      <c r="D190" s="907">
        <v>0</v>
      </c>
      <c r="E190" s="907">
        <v>0</v>
      </c>
      <c r="F190" s="907">
        <v>0</v>
      </c>
      <c r="G190" s="907">
        <v>0</v>
      </c>
      <c r="H190" s="907">
        <v>0</v>
      </c>
      <c r="I190" s="907">
        <v>0</v>
      </c>
      <c r="J190" s="907">
        <v>0</v>
      </c>
      <c r="K190" s="907">
        <v>0</v>
      </c>
      <c r="L190" s="907">
        <v>0</v>
      </c>
      <c r="M190" s="907">
        <v>0</v>
      </c>
      <c r="N190" s="907">
        <v>0</v>
      </c>
      <c r="O190" s="907">
        <v>0</v>
      </c>
      <c r="P190" s="339"/>
      <c r="S190" s="277"/>
      <c r="T190" s="277"/>
      <c r="U190" s="277"/>
      <c r="V190" s="277"/>
      <c r="W190" s="277"/>
      <c r="X190" s="277"/>
      <c r="Y190" s="277"/>
      <c r="Z190" s="277"/>
      <c r="AA190" s="277"/>
      <c r="AB190" s="277"/>
      <c r="AC190" s="277"/>
      <c r="AD190" s="277"/>
      <c r="AE190" s="277"/>
      <c r="AF190" s="277"/>
      <c r="AG190" s="277"/>
      <c r="AH190" s="277"/>
      <c r="AI190" s="277"/>
      <c r="AJ190" s="216"/>
      <c r="AK190" s="304"/>
      <c r="AL190" s="303"/>
      <c r="AM190" s="216"/>
      <c r="AN190" s="304"/>
      <c r="AO190" s="277"/>
      <c r="AP190" s="303"/>
      <c r="AQ190" s="303"/>
      <c r="AR190" s="304"/>
      <c r="AS190" s="303"/>
      <c r="AT190" s="303"/>
      <c r="AU190" s="303"/>
      <c r="AV190" s="303"/>
      <c r="AW190" s="213"/>
      <c r="AX190" s="213"/>
      <c r="AY190" s="213"/>
      <c r="AZ190" s="213"/>
      <c r="BA190" s="213"/>
      <c r="BB190" s="213"/>
      <c r="BC190" s="213"/>
      <c r="BD190" s="213"/>
      <c r="BE190" s="213"/>
      <c r="BF190" s="213"/>
      <c r="BG190" s="213"/>
      <c r="BH190" s="213"/>
      <c r="BI190" s="213"/>
      <c r="BJ190" s="213"/>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row>
    <row r="191" spans="1:243" ht="15.6">
      <c r="A191" s="170">
        <f>A190+1</f>
        <v>117</v>
      </c>
      <c r="B191" s="327">
        <v>344</v>
      </c>
      <c r="C191" s="287"/>
      <c r="D191" s="907">
        <v>0</v>
      </c>
      <c r="E191" s="907">
        <v>0</v>
      </c>
      <c r="F191" s="907">
        <v>0</v>
      </c>
      <c r="G191" s="907">
        <v>0</v>
      </c>
      <c r="H191" s="907">
        <v>0</v>
      </c>
      <c r="I191" s="907">
        <v>0</v>
      </c>
      <c r="J191" s="907">
        <v>0</v>
      </c>
      <c r="K191" s="907">
        <v>0</v>
      </c>
      <c r="L191" s="907">
        <v>0</v>
      </c>
      <c r="M191" s="907">
        <v>0</v>
      </c>
      <c r="N191" s="907">
        <v>0</v>
      </c>
      <c r="O191" s="907">
        <v>0</v>
      </c>
      <c r="P191" s="339"/>
      <c r="S191" s="277"/>
      <c r="T191" s="277"/>
      <c r="U191" s="277"/>
      <c r="V191" s="277"/>
      <c r="W191" s="277"/>
      <c r="X191" s="277"/>
      <c r="Y191" s="277"/>
      <c r="Z191" s="277"/>
      <c r="AA191" s="277"/>
      <c r="AB191" s="277"/>
      <c r="AC191" s="277"/>
      <c r="AD191" s="277"/>
      <c r="AE191" s="277"/>
      <c r="AF191" s="277"/>
      <c r="AG191" s="277"/>
      <c r="AH191" s="277"/>
      <c r="AI191" s="277"/>
      <c r="AJ191" s="216"/>
      <c r="AK191" s="304"/>
      <c r="AL191" s="303"/>
      <c r="AM191" s="216"/>
      <c r="AN191" s="304"/>
      <c r="AO191" s="277"/>
      <c r="AP191" s="303"/>
      <c r="AQ191" s="303"/>
      <c r="AR191" s="304"/>
      <c r="AS191" s="303"/>
      <c r="AT191" s="303"/>
      <c r="AU191" s="303"/>
      <c r="AV191" s="303"/>
      <c r="AW191" s="213"/>
      <c r="AX191" s="213"/>
      <c r="AY191" s="213"/>
      <c r="AZ191" s="213"/>
      <c r="BA191" s="213"/>
      <c r="BB191" s="213"/>
      <c r="BC191" s="213"/>
      <c r="BD191" s="213"/>
      <c r="BE191" s="213"/>
      <c r="BF191" s="213"/>
      <c r="BG191" s="213"/>
      <c r="BH191" s="213"/>
      <c r="BI191" s="213"/>
      <c r="BJ191" s="213"/>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row>
    <row r="192" spans="1:243" ht="15.6">
      <c r="A192" s="170">
        <f>A191+1</f>
        <v>118</v>
      </c>
      <c r="B192" s="327">
        <v>345</v>
      </c>
      <c r="C192" s="287"/>
      <c r="D192" s="907">
        <v>0</v>
      </c>
      <c r="E192" s="907">
        <v>0</v>
      </c>
      <c r="F192" s="907">
        <v>0</v>
      </c>
      <c r="G192" s="907">
        <v>0</v>
      </c>
      <c r="H192" s="907">
        <v>0</v>
      </c>
      <c r="I192" s="907">
        <v>0</v>
      </c>
      <c r="J192" s="907">
        <v>0</v>
      </c>
      <c r="K192" s="907">
        <v>0</v>
      </c>
      <c r="L192" s="907">
        <v>0</v>
      </c>
      <c r="M192" s="907">
        <v>0</v>
      </c>
      <c r="N192" s="907">
        <v>0</v>
      </c>
      <c r="O192" s="907">
        <v>0</v>
      </c>
      <c r="P192" s="339"/>
      <c r="S192" s="277"/>
      <c r="T192" s="277"/>
      <c r="U192" s="277"/>
      <c r="V192" s="277"/>
      <c r="W192" s="277"/>
      <c r="X192" s="277"/>
      <c r="Y192" s="277"/>
      <c r="Z192" s="277"/>
      <c r="AA192" s="277"/>
      <c r="AB192" s="277"/>
      <c r="AC192" s="277"/>
      <c r="AD192" s="277"/>
      <c r="AE192" s="277"/>
      <c r="AF192" s="277"/>
      <c r="AG192" s="277"/>
      <c r="AH192" s="277"/>
      <c r="AI192" s="277"/>
      <c r="AJ192" s="216"/>
      <c r="AK192" s="304"/>
      <c r="AL192" s="303"/>
      <c r="AM192" s="216"/>
      <c r="AN192" s="304"/>
      <c r="AO192" s="277"/>
      <c r="AP192" s="303"/>
      <c r="AQ192" s="303"/>
      <c r="AR192" s="304"/>
      <c r="AS192" s="303"/>
      <c r="AT192" s="303"/>
      <c r="AU192" s="303"/>
      <c r="AV192" s="303"/>
      <c r="AW192" s="213"/>
      <c r="AX192" s="213"/>
      <c r="AY192" s="213"/>
      <c r="AZ192" s="213"/>
      <c r="BA192" s="213"/>
      <c r="BB192" s="213"/>
      <c r="BC192" s="213"/>
      <c r="BD192" s="213"/>
      <c r="BE192" s="213"/>
      <c r="BF192" s="213"/>
      <c r="BG192" s="213"/>
      <c r="BH192" s="213"/>
      <c r="BI192" s="213"/>
      <c r="BJ192" s="213"/>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row>
    <row r="193" spans="1:243" ht="15.6">
      <c r="A193" s="170">
        <f>A192+1</f>
        <v>119</v>
      </c>
      <c r="B193" s="327">
        <v>346</v>
      </c>
      <c r="C193" s="287"/>
      <c r="D193" s="907">
        <v>0</v>
      </c>
      <c r="E193" s="907">
        <v>0</v>
      </c>
      <c r="F193" s="907">
        <v>0</v>
      </c>
      <c r="G193" s="907">
        <v>0</v>
      </c>
      <c r="H193" s="907">
        <v>0</v>
      </c>
      <c r="I193" s="907">
        <v>0</v>
      </c>
      <c r="J193" s="907">
        <v>0</v>
      </c>
      <c r="K193" s="907">
        <v>0</v>
      </c>
      <c r="L193" s="907">
        <v>0</v>
      </c>
      <c r="M193" s="907">
        <v>0</v>
      </c>
      <c r="N193" s="907">
        <v>0</v>
      </c>
      <c r="O193" s="907">
        <v>0</v>
      </c>
      <c r="P193" s="339"/>
      <c r="S193" s="277"/>
      <c r="T193" s="277"/>
      <c r="U193" s="277"/>
      <c r="V193" s="277"/>
      <c r="W193" s="277"/>
      <c r="X193" s="277"/>
      <c r="Y193" s="277"/>
      <c r="Z193" s="277"/>
      <c r="AA193" s="277"/>
      <c r="AB193" s="277"/>
      <c r="AC193" s="277"/>
      <c r="AD193" s="277"/>
      <c r="AE193" s="277"/>
      <c r="AF193" s="277"/>
      <c r="AG193" s="277"/>
      <c r="AH193" s="277"/>
      <c r="AI193" s="277"/>
      <c r="AJ193" s="216"/>
      <c r="AK193" s="304"/>
      <c r="AL193" s="303"/>
      <c r="AM193" s="216"/>
      <c r="AN193" s="304"/>
      <c r="AO193" s="277"/>
      <c r="AP193" s="303"/>
      <c r="AQ193" s="303"/>
      <c r="AR193" s="304"/>
      <c r="AS193" s="303"/>
      <c r="AT193" s="303"/>
      <c r="AU193" s="303"/>
      <c r="AV193" s="303"/>
      <c r="AW193" s="213"/>
      <c r="AX193" s="213"/>
      <c r="AY193" s="213"/>
      <c r="AZ193" s="213"/>
      <c r="BA193" s="213"/>
      <c r="BB193" s="213"/>
      <c r="BC193" s="213"/>
      <c r="BD193" s="213"/>
      <c r="BE193" s="213"/>
      <c r="BF193" s="213"/>
      <c r="BG193" s="213"/>
      <c r="BH193" s="213"/>
      <c r="BI193" s="213"/>
      <c r="BJ193" s="21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row>
    <row r="194" spans="1:243" ht="15.6">
      <c r="A194" s="355"/>
      <c r="B194" s="336"/>
      <c r="C194" s="287"/>
      <c r="D194" s="287"/>
      <c r="E194" s="287"/>
      <c r="F194" s="287"/>
      <c r="G194" s="287"/>
      <c r="H194" s="287"/>
      <c r="I194" s="287"/>
      <c r="J194" s="287"/>
      <c r="K194" s="334"/>
      <c r="L194" s="287"/>
      <c r="M194" s="287"/>
      <c r="N194" s="287"/>
      <c r="O194" s="287"/>
      <c r="P194" s="339"/>
      <c r="S194" s="277"/>
      <c r="T194" s="277"/>
      <c r="U194" s="277"/>
      <c r="V194" s="277"/>
      <c r="W194" s="277"/>
      <c r="X194" s="277"/>
      <c r="Y194" s="277"/>
      <c r="Z194" s="277"/>
      <c r="AA194" s="277"/>
      <c r="AB194" s="277"/>
      <c r="AC194" s="277"/>
      <c r="AD194" s="277"/>
      <c r="AE194" s="277"/>
      <c r="AF194" s="277"/>
      <c r="AG194" s="277"/>
      <c r="AH194" s="277"/>
      <c r="AI194" s="277"/>
      <c r="AJ194" s="216"/>
      <c r="AK194" s="304"/>
      <c r="AL194" s="303"/>
      <c r="AM194" s="216"/>
      <c r="AN194" s="304"/>
      <c r="AO194" s="277"/>
      <c r="AP194" s="303"/>
      <c r="AQ194" s="303"/>
      <c r="AR194" s="304"/>
      <c r="AS194" s="303"/>
      <c r="AT194" s="303"/>
      <c r="AU194" s="303"/>
      <c r="AV194" s="303"/>
      <c r="AW194" s="213"/>
      <c r="AX194" s="213"/>
      <c r="AY194" s="213"/>
      <c r="AZ194" s="213"/>
      <c r="BA194" s="213"/>
      <c r="BB194" s="213"/>
      <c r="BC194" s="213"/>
      <c r="BD194" s="213"/>
      <c r="BE194" s="213"/>
      <c r="BF194" s="213"/>
      <c r="BG194" s="213"/>
      <c r="BH194" s="213"/>
      <c r="BI194" s="213"/>
      <c r="BJ194" s="213"/>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row>
    <row r="195" spans="1:243" ht="18.600000000000001">
      <c r="A195" s="355"/>
      <c r="B195" s="355" t="s">
        <v>1078</v>
      </c>
      <c r="C195" s="334" t="s">
        <v>727</v>
      </c>
      <c r="D195" s="1778" t="s">
        <v>728</v>
      </c>
      <c r="E195" s="1779"/>
      <c r="F195" s="1779"/>
      <c r="G195" s="1779"/>
      <c r="H195" s="1779"/>
      <c r="I195" s="1779"/>
      <c r="J195" s="1779"/>
      <c r="K195" s="1779"/>
      <c r="L195" s="1779"/>
      <c r="M195" s="1779"/>
      <c r="N195" s="1779"/>
      <c r="O195" s="1779"/>
      <c r="P195" s="1779"/>
      <c r="S195" s="277"/>
      <c r="T195" s="277"/>
      <c r="U195" s="277"/>
      <c r="V195" s="277"/>
      <c r="W195" s="277"/>
      <c r="X195" s="277"/>
      <c r="Y195" s="277"/>
      <c r="Z195" s="277"/>
      <c r="AA195" s="277"/>
      <c r="AB195" s="277"/>
      <c r="AC195" s="277"/>
      <c r="AD195" s="277"/>
      <c r="AE195" s="277"/>
      <c r="AF195" s="277"/>
      <c r="AG195" s="277"/>
      <c r="AH195" s="277"/>
      <c r="AI195" s="277"/>
      <c r="AJ195" s="216"/>
      <c r="AK195" s="304"/>
      <c r="AL195" s="303"/>
      <c r="AM195" s="216"/>
      <c r="AN195" s="304"/>
      <c r="AO195" s="277"/>
      <c r="AP195" s="303"/>
      <c r="AQ195" s="303"/>
      <c r="AR195" s="304"/>
      <c r="AS195" s="303"/>
      <c r="AT195" s="303"/>
      <c r="AU195" s="303"/>
      <c r="AV195" s="303"/>
      <c r="AW195" s="213"/>
      <c r="AX195" s="213"/>
      <c r="AY195" s="213"/>
      <c r="AZ195" s="213"/>
      <c r="BA195" s="213"/>
      <c r="BB195" s="213"/>
      <c r="BC195" s="213"/>
      <c r="BD195" s="213"/>
      <c r="BE195" s="213"/>
      <c r="BF195" s="213"/>
      <c r="BG195" s="213"/>
      <c r="BH195" s="213"/>
      <c r="BI195" s="213"/>
      <c r="BJ195" s="213"/>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row>
    <row r="196" spans="1:243" ht="18.600000000000001">
      <c r="A196" s="322"/>
      <c r="B196" s="322" t="s">
        <v>928</v>
      </c>
      <c r="C196" s="335" t="s">
        <v>729</v>
      </c>
      <c r="D196" s="358" t="s">
        <v>716</v>
      </c>
      <c r="E196" s="358" t="s">
        <v>717</v>
      </c>
      <c r="F196" s="358" t="s">
        <v>718</v>
      </c>
      <c r="G196" s="358" t="s">
        <v>719</v>
      </c>
      <c r="H196" s="358" t="s">
        <v>720</v>
      </c>
      <c r="I196" s="358" t="s">
        <v>721</v>
      </c>
      <c r="J196" s="358" t="s">
        <v>722</v>
      </c>
      <c r="K196" s="358" t="s">
        <v>723</v>
      </c>
      <c r="L196" s="358" t="s">
        <v>724</v>
      </c>
      <c r="M196" s="358" t="s">
        <v>725</v>
      </c>
      <c r="N196" s="358" t="s">
        <v>726</v>
      </c>
      <c r="O196" s="358" t="s">
        <v>715</v>
      </c>
      <c r="P196" s="360" t="s">
        <v>468</v>
      </c>
      <c r="S196" s="277"/>
      <c r="T196" s="277"/>
      <c r="U196" s="277"/>
      <c r="V196" s="277"/>
      <c r="W196" s="277"/>
      <c r="X196" s="277"/>
      <c r="Y196" s="277"/>
      <c r="Z196" s="277"/>
      <c r="AA196" s="277"/>
      <c r="AB196" s="277"/>
      <c r="AC196" s="277"/>
      <c r="AD196" s="277"/>
      <c r="AE196" s="277"/>
      <c r="AF196" s="277"/>
      <c r="AG196" s="277"/>
      <c r="AH196" s="277"/>
      <c r="AI196" s="277"/>
      <c r="AJ196" s="216"/>
      <c r="AK196" s="304"/>
      <c r="AL196" s="303"/>
      <c r="AM196" s="216"/>
      <c r="AN196" s="304"/>
      <c r="AO196" s="277"/>
      <c r="AP196" s="303"/>
      <c r="AQ196" s="303"/>
      <c r="AR196" s="304"/>
      <c r="AS196" s="303"/>
      <c r="AT196" s="303"/>
      <c r="AU196" s="303"/>
      <c r="AV196" s="303"/>
      <c r="AW196" s="213"/>
      <c r="AX196" s="213"/>
      <c r="AY196" s="213"/>
      <c r="AZ196" s="213"/>
      <c r="BA196" s="213"/>
      <c r="BB196" s="213"/>
      <c r="BC196" s="213"/>
      <c r="BD196" s="213"/>
      <c r="BE196" s="213"/>
      <c r="BF196" s="213"/>
      <c r="BG196" s="213"/>
      <c r="BH196" s="213"/>
      <c r="BI196" s="213"/>
      <c r="BJ196" s="213"/>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row>
    <row r="197" spans="1:243" ht="15.6">
      <c r="A197" s="170">
        <f>A193+1</f>
        <v>120</v>
      </c>
      <c r="B197" s="327">
        <f>B189</f>
        <v>341</v>
      </c>
      <c r="C197" s="908"/>
      <c r="D197" s="603">
        <f>D189*$C197/100/12</f>
        <v>0</v>
      </c>
      <c r="E197" s="603">
        <f t="shared" ref="E197:O197" si="45">E189*$C197/100/12</f>
        <v>0</v>
      </c>
      <c r="F197" s="603">
        <f t="shared" si="45"/>
        <v>0</v>
      </c>
      <c r="G197" s="603">
        <f t="shared" si="45"/>
        <v>0</v>
      </c>
      <c r="H197" s="603">
        <f t="shared" si="45"/>
        <v>0</v>
      </c>
      <c r="I197" s="603">
        <f t="shared" si="45"/>
        <v>0</v>
      </c>
      <c r="J197" s="603">
        <f t="shared" si="45"/>
        <v>0</v>
      </c>
      <c r="K197" s="603">
        <f t="shared" si="45"/>
        <v>0</v>
      </c>
      <c r="L197" s="603">
        <f t="shared" si="45"/>
        <v>0</v>
      </c>
      <c r="M197" s="603">
        <f t="shared" si="45"/>
        <v>0</v>
      </c>
      <c r="N197" s="603">
        <f t="shared" si="45"/>
        <v>0</v>
      </c>
      <c r="O197" s="603">
        <f t="shared" si="45"/>
        <v>0</v>
      </c>
      <c r="P197" s="333">
        <f>SUM(D197:O197)</f>
        <v>0</v>
      </c>
      <c r="S197" s="277"/>
      <c r="T197" s="277"/>
      <c r="U197" s="277"/>
      <c r="V197" s="277"/>
      <c r="W197" s="277"/>
      <c r="X197" s="277"/>
      <c r="Y197" s="277"/>
      <c r="Z197" s="277"/>
      <c r="AA197" s="277"/>
      <c r="AB197" s="277"/>
      <c r="AC197" s="277"/>
      <c r="AD197" s="277"/>
      <c r="AE197" s="277"/>
      <c r="AF197" s="277"/>
      <c r="AG197" s="277"/>
      <c r="AH197" s="277"/>
      <c r="AI197" s="277"/>
      <c r="AJ197" s="216"/>
      <c r="AK197" s="304"/>
      <c r="AL197" s="303"/>
      <c r="AM197" s="216"/>
      <c r="AN197" s="304"/>
      <c r="AO197" s="277"/>
      <c r="AP197" s="303"/>
      <c r="AQ197" s="303"/>
      <c r="AR197" s="304"/>
      <c r="AS197" s="303"/>
      <c r="AT197" s="303"/>
      <c r="AU197" s="303"/>
      <c r="AV197" s="303"/>
      <c r="AW197" s="213"/>
      <c r="AX197" s="213"/>
      <c r="AY197" s="213"/>
      <c r="AZ197" s="213"/>
      <c r="BA197" s="213"/>
      <c r="BB197" s="213"/>
      <c r="BC197" s="213"/>
      <c r="BD197" s="213"/>
      <c r="BE197" s="213"/>
      <c r="BF197" s="213"/>
      <c r="BG197" s="213"/>
      <c r="BH197" s="213"/>
      <c r="BI197" s="213"/>
      <c r="BJ197" s="213"/>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row>
    <row r="198" spans="1:243" ht="15.6">
      <c r="A198" s="170">
        <f>A197+1</f>
        <v>121</v>
      </c>
      <c r="B198" s="327">
        <f>B190</f>
        <v>342</v>
      </c>
      <c r="C198" s="908"/>
      <c r="D198" s="603">
        <f t="shared" ref="D198:O201" si="46">D190*$C198/100/12</f>
        <v>0</v>
      </c>
      <c r="E198" s="603">
        <f t="shared" si="46"/>
        <v>0</v>
      </c>
      <c r="F198" s="603">
        <f t="shared" si="46"/>
        <v>0</v>
      </c>
      <c r="G198" s="603">
        <f t="shared" si="46"/>
        <v>0</v>
      </c>
      <c r="H198" s="603">
        <f t="shared" si="46"/>
        <v>0</v>
      </c>
      <c r="I198" s="603">
        <f t="shared" si="46"/>
        <v>0</v>
      </c>
      <c r="J198" s="603">
        <f t="shared" si="46"/>
        <v>0</v>
      </c>
      <c r="K198" s="603">
        <f t="shared" si="46"/>
        <v>0</v>
      </c>
      <c r="L198" s="603">
        <f t="shared" si="46"/>
        <v>0</v>
      </c>
      <c r="M198" s="603">
        <f t="shared" si="46"/>
        <v>0</v>
      </c>
      <c r="N198" s="603">
        <f t="shared" si="46"/>
        <v>0</v>
      </c>
      <c r="O198" s="603">
        <f t="shared" si="46"/>
        <v>0</v>
      </c>
      <c r="P198" s="333">
        <f>SUM(D198:O198)</f>
        <v>0</v>
      </c>
      <c r="S198" s="277"/>
      <c r="T198" s="277"/>
      <c r="U198" s="277"/>
      <c r="V198" s="277"/>
      <c r="W198" s="277"/>
      <c r="X198" s="277"/>
      <c r="Y198" s="277"/>
      <c r="Z198" s="277"/>
      <c r="AA198" s="277"/>
      <c r="AB198" s="277"/>
      <c r="AC198" s="277"/>
      <c r="AD198" s="277"/>
      <c r="AE198" s="277"/>
      <c r="AF198" s="277"/>
      <c r="AG198" s="277"/>
      <c r="AH198" s="277"/>
      <c r="AI198" s="277"/>
      <c r="AJ198" s="216"/>
      <c r="AK198" s="304"/>
      <c r="AL198" s="303"/>
      <c r="AM198" s="216"/>
      <c r="AN198" s="304"/>
      <c r="AO198" s="277"/>
      <c r="AP198" s="303"/>
      <c r="AQ198" s="303"/>
      <c r="AR198" s="304"/>
      <c r="AS198" s="303"/>
      <c r="AT198" s="303"/>
      <c r="AU198" s="303"/>
      <c r="AV198" s="303"/>
      <c r="AW198" s="213"/>
      <c r="AX198" s="213"/>
      <c r="AY198" s="213"/>
      <c r="AZ198" s="213"/>
      <c r="BA198" s="213"/>
      <c r="BB198" s="213"/>
      <c r="BC198" s="213"/>
      <c r="BD198" s="213"/>
      <c r="BE198" s="213"/>
      <c r="BF198" s="213"/>
      <c r="BG198" s="213"/>
      <c r="BH198" s="213"/>
      <c r="BI198" s="213"/>
      <c r="BJ198" s="213"/>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row>
    <row r="199" spans="1:243" ht="15.6">
      <c r="A199" s="170">
        <f>A198+1</f>
        <v>122</v>
      </c>
      <c r="B199" s="327">
        <f>B191</f>
        <v>344</v>
      </c>
      <c r="C199" s="908"/>
      <c r="D199" s="603">
        <f t="shared" si="46"/>
        <v>0</v>
      </c>
      <c r="E199" s="603">
        <f t="shared" si="46"/>
        <v>0</v>
      </c>
      <c r="F199" s="603">
        <f t="shared" si="46"/>
        <v>0</v>
      </c>
      <c r="G199" s="603">
        <f t="shared" si="46"/>
        <v>0</v>
      </c>
      <c r="H199" s="603">
        <f t="shared" si="46"/>
        <v>0</v>
      </c>
      <c r="I199" s="603">
        <f t="shared" si="46"/>
        <v>0</v>
      </c>
      <c r="J199" s="603">
        <f t="shared" si="46"/>
        <v>0</v>
      </c>
      <c r="K199" s="603">
        <f t="shared" si="46"/>
        <v>0</v>
      </c>
      <c r="L199" s="603">
        <f t="shared" si="46"/>
        <v>0</v>
      </c>
      <c r="M199" s="603">
        <f t="shared" si="46"/>
        <v>0</v>
      </c>
      <c r="N199" s="603">
        <f t="shared" si="46"/>
        <v>0</v>
      </c>
      <c r="O199" s="603">
        <f t="shared" si="46"/>
        <v>0</v>
      </c>
      <c r="P199" s="333">
        <f>SUM(D199:O199)</f>
        <v>0</v>
      </c>
      <c r="S199" s="277"/>
      <c r="T199" s="277"/>
      <c r="U199" s="277"/>
      <c r="V199" s="277"/>
      <c r="W199" s="277"/>
      <c r="X199" s="277"/>
      <c r="Y199" s="277"/>
      <c r="Z199" s="277"/>
      <c r="AA199" s="277"/>
      <c r="AB199" s="277"/>
      <c r="AC199" s="277"/>
      <c r="AD199" s="277"/>
      <c r="AE199" s="277"/>
      <c r="AF199" s="277"/>
      <c r="AG199" s="277"/>
      <c r="AH199" s="277"/>
      <c r="AI199" s="277"/>
      <c r="AJ199" s="216"/>
      <c r="AK199" s="304"/>
      <c r="AL199" s="303"/>
      <c r="AM199" s="216"/>
      <c r="AN199" s="304"/>
      <c r="AO199" s="277"/>
      <c r="AP199" s="303"/>
      <c r="AQ199" s="303"/>
      <c r="AR199" s="304"/>
      <c r="AS199" s="303"/>
      <c r="AT199" s="303"/>
      <c r="AU199" s="303"/>
      <c r="AV199" s="303"/>
      <c r="AW199" s="213"/>
      <c r="AX199" s="213"/>
      <c r="AY199" s="213"/>
      <c r="AZ199" s="213"/>
      <c r="BA199" s="213"/>
      <c r="BB199" s="213"/>
      <c r="BC199" s="213"/>
      <c r="BD199" s="213"/>
      <c r="BE199" s="213"/>
      <c r="BF199" s="213"/>
      <c r="BG199" s="213"/>
      <c r="BH199" s="213"/>
      <c r="BI199" s="213"/>
      <c r="BJ199" s="213"/>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row>
    <row r="200" spans="1:243" ht="15.6">
      <c r="A200" s="170">
        <f>A199+1</f>
        <v>123</v>
      </c>
      <c r="B200" s="327">
        <f>B192</f>
        <v>345</v>
      </c>
      <c r="C200" s="908"/>
      <c r="D200" s="603">
        <f t="shared" si="46"/>
        <v>0</v>
      </c>
      <c r="E200" s="603">
        <f t="shared" si="46"/>
        <v>0</v>
      </c>
      <c r="F200" s="603">
        <f t="shared" si="46"/>
        <v>0</v>
      </c>
      <c r="G200" s="603">
        <f t="shared" si="46"/>
        <v>0</v>
      </c>
      <c r="H200" s="603">
        <f t="shared" si="46"/>
        <v>0</v>
      </c>
      <c r="I200" s="603">
        <f t="shared" si="46"/>
        <v>0</v>
      </c>
      <c r="J200" s="603">
        <f t="shared" si="46"/>
        <v>0</v>
      </c>
      <c r="K200" s="603">
        <f t="shared" si="46"/>
        <v>0</v>
      </c>
      <c r="L200" s="603">
        <f t="shared" si="46"/>
        <v>0</v>
      </c>
      <c r="M200" s="603">
        <f t="shared" si="46"/>
        <v>0</v>
      </c>
      <c r="N200" s="603">
        <f t="shared" si="46"/>
        <v>0</v>
      </c>
      <c r="O200" s="603">
        <f t="shared" si="46"/>
        <v>0</v>
      </c>
      <c r="P200" s="333">
        <f>SUM(D200:O200)</f>
        <v>0</v>
      </c>
      <c r="S200" s="277"/>
      <c r="T200" s="277"/>
      <c r="U200" s="277"/>
      <c r="V200" s="277"/>
      <c r="W200" s="277"/>
      <c r="X200" s="277"/>
      <c r="Y200" s="277"/>
      <c r="Z200" s="277"/>
      <c r="AA200" s="277"/>
      <c r="AB200" s="277"/>
      <c r="AC200" s="277"/>
      <c r="AD200" s="277"/>
      <c r="AE200" s="277"/>
      <c r="AF200" s="277"/>
      <c r="AG200" s="277"/>
      <c r="AH200" s="277"/>
      <c r="AI200" s="277"/>
      <c r="AJ200" s="216"/>
      <c r="AK200" s="304"/>
      <c r="AL200" s="303"/>
      <c r="AM200" s="216"/>
      <c r="AN200" s="304"/>
      <c r="AO200" s="277"/>
      <c r="AP200" s="303"/>
      <c r="AQ200" s="303"/>
      <c r="AR200" s="304"/>
      <c r="AS200" s="303"/>
      <c r="AT200" s="303"/>
      <c r="AU200" s="303"/>
      <c r="AV200" s="303"/>
      <c r="AW200" s="213"/>
      <c r="AX200" s="213"/>
      <c r="AY200" s="213"/>
      <c r="AZ200" s="213"/>
      <c r="BA200" s="213"/>
      <c r="BB200" s="213"/>
      <c r="BC200" s="213"/>
      <c r="BD200" s="213"/>
      <c r="BE200" s="213"/>
      <c r="BF200" s="213"/>
      <c r="BG200" s="213"/>
      <c r="BH200" s="213"/>
      <c r="BI200" s="213"/>
      <c r="BJ200" s="213"/>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row>
    <row r="201" spans="1:243" ht="15.6">
      <c r="A201" s="170">
        <f>A200+1</f>
        <v>124</v>
      </c>
      <c r="B201" s="327">
        <f>B193</f>
        <v>346</v>
      </c>
      <c r="C201" s="908"/>
      <c r="D201" s="603">
        <f t="shared" si="46"/>
        <v>0</v>
      </c>
      <c r="E201" s="603">
        <f t="shared" si="46"/>
        <v>0</v>
      </c>
      <c r="F201" s="603">
        <f t="shared" si="46"/>
        <v>0</v>
      </c>
      <c r="G201" s="603">
        <f t="shared" si="46"/>
        <v>0</v>
      </c>
      <c r="H201" s="603">
        <f t="shared" si="46"/>
        <v>0</v>
      </c>
      <c r="I201" s="603">
        <f t="shared" si="46"/>
        <v>0</v>
      </c>
      <c r="J201" s="603">
        <f t="shared" si="46"/>
        <v>0</v>
      </c>
      <c r="K201" s="603">
        <f t="shared" si="46"/>
        <v>0</v>
      </c>
      <c r="L201" s="603">
        <f t="shared" si="46"/>
        <v>0</v>
      </c>
      <c r="M201" s="603">
        <f t="shared" si="46"/>
        <v>0</v>
      </c>
      <c r="N201" s="603">
        <f t="shared" si="46"/>
        <v>0</v>
      </c>
      <c r="O201" s="603">
        <f t="shared" si="46"/>
        <v>0</v>
      </c>
      <c r="P201" s="333">
        <f>SUM(D201:O201)</f>
        <v>0</v>
      </c>
      <c r="S201" s="277"/>
      <c r="T201" s="277"/>
      <c r="U201" s="277"/>
      <c r="V201" s="277"/>
      <c r="W201" s="277"/>
      <c r="X201" s="277"/>
      <c r="Y201" s="277"/>
      <c r="Z201" s="277"/>
      <c r="AA201" s="277"/>
      <c r="AB201" s="277"/>
      <c r="AC201" s="277"/>
      <c r="AD201" s="277"/>
      <c r="AE201" s="277"/>
      <c r="AF201" s="277"/>
      <c r="AG201" s="277"/>
      <c r="AH201" s="277"/>
      <c r="AI201" s="277"/>
      <c r="AJ201" s="216"/>
      <c r="AK201" s="304"/>
      <c r="AL201" s="303"/>
      <c r="AM201" s="216"/>
      <c r="AN201" s="304"/>
      <c r="AO201" s="277"/>
      <c r="AP201" s="303"/>
      <c r="AQ201" s="303"/>
      <c r="AR201" s="304"/>
      <c r="AS201" s="303"/>
      <c r="AT201" s="303"/>
      <c r="AU201" s="303"/>
      <c r="AV201" s="303"/>
      <c r="AW201" s="213"/>
      <c r="AX201" s="213"/>
      <c r="AY201" s="213"/>
      <c r="AZ201" s="213"/>
      <c r="BA201" s="213"/>
      <c r="BB201" s="213"/>
      <c r="BC201" s="213"/>
      <c r="BD201" s="213"/>
      <c r="BE201" s="213"/>
      <c r="BF201" s="213"/>
      <c r="BG201" s="213"/>
      <c r="BH201" s="213"/>
      <c r="BI201" s="213"/>
      <c r="BJ201" s="213"/>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row>
    <row r="202" spans="1:243" ht="15.6">
      <c r="A202" s="355"/>
      <c r="B202" s="287"/>
      <c r="C202" s="287"/>
      <c r="D202" s="287"/>
      <c r="E202" s="287"/>
      <c r="F202" s="287"/>
      <c r="G202" s="287"/>
      <c r="H202" s="287"/>
      <c r="I202" s="287"/>
      <c r="J202" s="287"/>
      <c r="K202" s="334"/>
      <c r="L202" s="287"/>
      <c r="M202" s="287"/>
      <c r="N202" s="287"/>
      <c r="O202" s="287"/>
      <c r="P202" s="339"/>
      <c r="S202" s="277"/>
      <c r="T202" s="277"/>
      <c r="U202" s="277"/>
      <c r="V202" s="277"/>
      <c r="W202" s="277"/>
      <c r="X202" s="277"/>
      <c r="Y202" s="277"/>
      <c r="Z202" s="277"/>
      <c r="AA202" s="277"/>
      <c r="AB202" s="277"/>
      <c r="AC202" s="277"/>
      <c r="AD202" s="277"/>
      <c r="AE202" s="277"/>
      <c r="AF202" s="277"/>
      <c r="AG202" s="277"/>
      <c r="AH202" s="277"/>
      <c r="AI202" s="277"/>
      <c r="AJ202" s="216"/>
      <c r="AK202" s="304"/>
      <c r="AL202" s="303"/>
      <c r="AM202" s="216"/>
      <c r="AN202" s="304"/>
      <c r="AO202" s="277"/>
      <c r="AP202" s="303"/>
      <c r="AQ202" s="303"/>
      <c r="AR202" s="304"/>
      <c r="AS202" s="303"/>
      <c r="AT202" s="303"/>
      <c r="AU202" s="303"/>
      <c r="AV202" s="303"/>
      <c r="AW202" s="213"/>
      <c r="AX202" s="213"/>
      <c r="AY202" s="213"/>
      <c r="AZ202" s="213"/>
      <c r="BA202" s="213"/>
      <c r="BB202" s="213"/>
      <c r="BC202" s="213"/>
      <c r="BD202" s="213"/>
      <c r="BE202" s="213"/>
      <c r="BF202" s="213"/>
      <c r="BG202" s="213"/>
      <c r="BH202" s="213"/>
      <c r="BI202" s="213"/>
      <c r="BJ202" s="213"/>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row>
    <row r="203" spans="1:243" ht="18.600000000000001">
      <c r="A203" s="355"/>
      <c r="B203" s="355" t="s">
        <v>1078</v>
      </c>
      <c r="C203" s="334" t="s">
        <v>730</v>
      </c>
      <c r="D203" s="1778" t="s">
        <v>731</v>
      </c>
      <c r="E203" s="1779"/>
      <c r="F203" s="1779"/>
      <c r="G203" s="1779"/>
      <c r="H203" s="1779"/>
      <c r="I203" s="1779"/>
      <c r="J203" s="1779"/>
      <c r="K203" s="1779"/>
      <c r="L203" s="1779"/>
      <c r="M203" s="1779"/>
      <c r="N203" s="1779"/>
      <c r="O203" s="1779"/>
      <c r="P203" s="1779"/>
      <c r="S203" s="277"/>
      <c r="T203" s="277"/>
      <c r="U203" s="277"/>
      <c r="V203" s="277"/>
      <c r="W203" s="277"/>
      <c r="X203" s="277"/>
      <c r="Y203" s="277"/>
      <c r="Z203" s="277"/>
      <c r="AA203" s="277"/>
      <c r="AB203" s="277"/>
      <c r="AC203" s="277"/>
      <c r="AD203" s="277"/>
      <c r="AE203" s="277"/>
      <c r="AF203" s="277"/>
      <c r="AG203" s="277"/>
      <c r="AH203" s="277"/>
      <c r="AI203" s="277"/>
      <c r="AJ203" s="216"/>
      <c r="AK203" s="304"/>
      <c r="AL203" s="303"/>
      <c r="AM203" s="216"/>
      <c r="AN203" s="304"/>
      <c r="AO203" s="277"/>
      <c r="AP203" s="303"/>
      <c r="AQ203" s="303"/>
      <c r="AR203" s="304"/>
      <c r="AS203" s="303"/>
      <c r="AT203" s="303"/>
      <c r="AU203" s="303"/>
      <c r="AV203" s="303"/>
      <c r="AW203" s="213"/>
      <c r="AX203" s="213"/>
      <c r="AY203" s="213"/>
      <c r="AZ203" s="213"/>
      <c r="BA203" s="213"/>
      <c r="BB203" s="213"/>
      <c r="BC203" s="213"/>
      <c r="BD203" s="213"/>
      <c r="BE203" s="213"/>
      <c r="BF203" s="213"/>
      <c r="BG203" s="213"/>
      <c r="BH203" s="213"/>
      <c r="BI203" s="213"/>
      <c r="BJ203" s="21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row>
    <row r="204" spans="1:243" ht="18.600000000000001">
      <c r="A204" s="355"/>
      <c r="B204" s="322" t="s">
        <v>928</v>
      </c>
      <c r="C204" s="335" t="s">
        <v>732</v>
      </c>
      <c r="D204" s="358" t="s">
        <v>716</v>
      </c>
      <c r="E204" s="358" t="s">
        <v>717</v>
      </c>
      <c r="F204" s="358" t="s">
        <v>718</v>
      </c>
      <c r="G204" s="358" t="s">
        <v>719</v>
      </c>
      <c r="H204" s="358" t="s">
        <v>720</v>
      </c>
      <c r="I204" s="358" t="s">
        <v>721</v>
      </c>
      <c r="J204" s="358" t="s">
        <v>722</v>
      </c>
      <c r="K204" s="358" t="s">
        <v>723</v>
      </c>
      <c r="L204" s="358" t="s">
        <v>724</v>
      </c>
      <c r="M204" s="358" t="s">
        <v>725</v>
      </c>
      <c r="N204" s="358" t="s">
        <v>726</v>
      </c>
      <c r="O204" s="358" t="s">
        <v>715</v>
      </c>
      <c r="P204" s="360" t="s">
        <v>628</v>
      </c>
      <c r="S204" s="277"/>
      <c r="T204" s="277"/>
      <c r="U204" s="277"/>
      <c r="V204" s="277"/>
      <c r="W204" s="277"/>
      <c r="X204" s="277"/>
      <c r="Y204" s="277"/>
      <c r="Z204" s="277"/>
      <c r="AA204" s="277"/>
      <c r="AB204" s="277"/>
      <c r="AC204" s="277"/>
      <c r="AD204" s="277"/>
      <c r="AE204" s="277"/>
      <c r="AF204" s="277"/>
      <c r="AG204" s="277"/>
      <c r="AH204" s="277"/>
      <c r="AI204" s="277"/>
      <c r="AJ204" s="216"/>
      <c r="AK204" s="304"/>
      <c r="AL204" s="303"/>
      <c r="AM204" s="216"/>
      <c r="AN204" s="304"/>
      <c r="AO204" s="277"/>
      <c r="AP204" s="303"/>
      <c r="AQ204" s="303"/>
      <c r="AR204" s="304"/>
      <c r="AS204" s="303"/>
      <c r="AT204" s="303"/>
      <c r="AU204" s="303"/>
      <c r="AV204" s="303"/>
      <c r="AW204" s="213"/>
      <c r="AX204" s="213"/>
      <c r="AY204" s="213"/>
      <c r="AZ204" s="213"/>
      <c r="BA204" s="213"/>
      <c r="BB204" s="213"/>
      <c r="BC204" s="213"/>
      <c r="BD204" s="213"/>
      <c r="BE204" s="213"/>
      <c r="BF204" s="213"/>
      <c r="BG204" s="213"/>
      <c r="BH204" s="213"/>
      <c r="BI204" s="213"/>
      <c r="BJ204" s="213"/>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row>
    <row r="205" spans="1:243" ht="15.6">
      <c r="A205" s="170">
        <f>A201+1</f>
        <v>125</v>
      </c>
      <c r="B205" s="327">
        <f>B189</f>
        <v>341</v>
      </c>
      <c r="C205" s="907">
        <v>0</v>
      </c>
      <c r="D205" s="603">
        <f>C205+D197</f>
        <v>0</v>
      </c>
      <c r="E205" s="603">
        <f t="shared" ref="E205:O205" si="47">D205+E197</f>
        <v>0</v>
      </c>
      <c r="F205" s="603">
        <f t="shared" si="47"/>
        <v>0</v>
      </c>
      <c r="G205" s="603">
        <f t="shared" si="47"/>
        <v>0</v>
      </c>
      <c r="H205" s="603">
        <f t="shared" si="47"/>
        <v>0</v>
      </c>
      <c r="I205" s="603">
        <f t="shared" si="47"/>
        <v>0</v>
      </c>
      <c r="J205" s="603">
        <f t="shared" si="47"/>
        <v>0</v>
      </c>
      <c r="K205" s="603">
        <f t="shared" si="47"/>
        <v>0</v>
      </c>
      <c r="L205" s="603">
        <f t="shared" si="47"/>
        <v>0</v>
      </c>
      <c r="M205" s="603">
        <f t="shared" si="47"/>
        <v>0</v>
      </c>
      <c r="N205" s="603">
        <f t="shared" si="47"/>
        <v>0</v>
      </c>
      <c r="O205" s="603">
        <f t="shared" si="47"/>
        <v>0</v>
      </c>
      <c r="P205" s="333">
        <f>O205</f>
        <v>0</v>
      </c>
      <c r="S205" s="277"/>
      <c r="T205" s="277"/>
      <c r="U205" s="277"/>
      <c r="V205" s="277"/>
      <c r="W205" s="277"/>
      <c r="X205" s="277"/>
      <c r="Y205" s="277"/>
      <c r="Z205" s="277"/>
      <c r="AA205" s="277"/>
      <c r="AB205" s="277"/>
      <c r="AC205" s="277"/>
      <c r="AD205" s="277"/>
      <c r="AE205" s="277"/>
      <c r="AF205" s="277"/>
      <c r="AG205" s="277"/>
      <c r="AH205" s="277"/>
      <c r="AI205" s="277"/>
      <c r="AJ205" s="216"/>
      <c r="AK205" s="304"/>
      <c r="AL205" s="303"/>
      <c r="AM205" s="216"/>
      <c r="AN205" s="304"/>
      <c r="AO205" s="277"/>
      <c r="AP205" s="303"/>
      <c r="AQ205" s="303"/>
      <c r="AR205" s="304"/>
      <c r="AS205" s="303"/>
      <c r="AT205" s="303"/>
      <c r="AU205" s="303"/>
      <c r="AV205" s="303"/>
      <c r="AW205" s="213"/>
      <c r="AX205" s="213"/>
      <c r="AY205" s="213"/>
      <c r="AZ205" s="213"/>
      <c r="BA205" s="213"/>
      <c r="BB205" s="213"/>
      <c r="BC205" s="213"/>
      <c r="BD205" s="213"/>
      <c r="BE205" s="213"/>
      <c r="BF205" s="213"/>
      <c r="BG205" s="213"/>
      <c r="BH205" s="213"/>
      <c r="BI205" s="213"/>
      <c r="BJ205" s="213"/>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row>
    <row r="206" spans="1:243" ht="15.6">
      <c r="A206" s="170">
        <f>A205+1</f>
        <v>126</v>
      </c>
      <c r="B206" s="327">
        <f>B190</f>
        <v>342</v>
      </c>
      <c r="C206" s="907">
        <v>0</v>
      </c>
      <c r="D206" s="603">
        <f t="shared" ref="D206:O209" si="48">C206+D198</f>
        <v>0</v>
      </c>
      <c r="E206" s="603">
        <f t="shared" si="48"/>
        <v>0</v>
      </c>
      <c r="F206" s="603">
        <f t="shared" si="48"/>
        <v>0</v>
      </c>
      <c r="G206" s="603">
        <f t="shared" si="48"/>
        <v>0</v>
      </c>
      <c r="H206" s="603">
        <f t="shared" si="48"/>
        <v>0</v>
      </c>
      <c r="I206" s="603">
        <f t="shared" si="48"/>
        <v>0</v>
      </c>
      <c r="J206" s="603">
        <f t="shared" si="48"/>
        <v>0</v>
      </c>
      <c r="K206" s="603">
        <f t="shared" si="48"/>
        <v>0</v>
      </c>
      <c r="L206" s="603">
        <f t="shared" si="48"/>
        <v>0</v>
      </c>
      <c r="M206" s="603">
        <f t="shared" si="48"/>
        <v>0</v>
      </c>
      <c r="N206" s="603">
        <f t="shared" si="48"/>
        <v>0</v>
      </c>
      <c r="O206" s="603">
        <f t="shared" si="48"/>
        <v>0</v>
      </c>
      <c r="P206" s="333">
        <f>O206</f>
        <v>0</v>
      </c>
      <c r="S206" s="277"/>
      <c r="T206" s="277"/>
      <c r="U206" s="277"/>
      <c r="V206" s="277"/>
      <c r="W206" s="277"/>
      <c r="X206" s="277"/>
      <c r="Y206" s="277"/>
      <c r="Z206" s="277"/>
      <c r="AA206" s="277"/>
      <c r="AB206" s="277"/>
      <c r="AC206" s="277"/>
      <c r="AD206" s="277"/>
      <c r="AE206" s="277"/>
      <c r="AF206" s="277"/>
      <c r="AG206" s="277"/>
      <c r="AH206" s="277"/>
      <c r="AI206" s="277"/>
      <c r="AJ206" s="216"/>
      <c r="AK206" s="304"/>
      <c r="AL206" s="303"/>
      <c r="AM206" s="216"/>
      <c r="AN206" s="304"/>
      <c r="AO206" s="277"/>
      <c r="AP206" s="303"/>
      <c r="AQ206" s="303"/>
      <c r="AR206" s="304"/>
      <c r="AS206" s="303"/>
      <c r="AT206" s="303"/>
      <c r="AU206" s="303"/>
      <c r="AV206" s="303"/>
      <c r="AW206" s="213"/>
      <c r="AX206" s="213"/>
      <c r="AY206" s="213"/>
      <c r="AZ206" s="213"/>
      <c r="BA206" s="213"/>
      <c r="BB206" s="213"/>
      <c r="BC206" s="213"/>
      <c r="BD206" s="213"/>
      <c r="BE206" s="213"/>
      <c r="BF206" s="213"/>
      <c r="BG206" s="213"/>
      <c r="BH206" s="213"/>
      <c r="BI206" s="213"/>
      <c r="BJ206" s="213"/>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row>
    <row r="207" spans="1:243" ht="15.6">
      <c r="A207" s="170">
        <f>A206+1</f>
        <v>127</v>
      </c>
      <c r="B207" s="327">
        <f>B191</f>
        <v>344</v>
      </c>
      <c r="C207" s="907">
        <v>0</v>
      </c>
      <c r="D207" s="603">
        <f t="shared" si="48"/>
        <v>0</v>
      </c>
      <c r="E207" s="603">
        <f t="shared" si="48"/>
        <v>0</v>
      </c>
      <c r="F207" s="603">
        <f t="shared" si="48"/>
        <v>0</v>
      </c>
      <c r="G207" s="603">
        <f t="shared" si="48"/>
        <v>0</v>
      </c>
      <c r="H207" s="603">
        <f t="shared" si="48"/>
        <v>0</v>
      </c>
      <c r="I207" s="603">
        <f t="shared" si="48"/>
        <v>0</v>
      </c>
      <c r="J207" s="603">
        <f t="shared" si="48"/>
        <v>0</v>
      </c>
      <c r="K207" s="603">
        <f t="shared" si="48"/>
        <v>0</v>
      </c>
      <c r="L207" s="603">
        <f t="shared" si="48"/>
        <v>0</v>
      </c>
      <c r="M207" s="603">
        <f t="shared" si="48"/>
        <v>0</v>
      </c>
      <c r="N207" s="603">
        <f t="shared" si="48"/>
        <v>0</v>
      </c>
      <c r="O207" s="603">
        <f t="shared" si="48"/>
        <v>0</v>
      </c>
      <c r="P207" s="333">
        <f>O207</f>
        <v>0</v>
      </c>
      <c r="S207" s="277"/>
      <c r="T207" s="277"/>
      <c r="U207" s="277"/>
      <c r="V207" s="277"/>
      <c r="W207" s="277"/>
      <c r="X207" s="277"/>
      <c r="Y207" s="277"/>
      <c r="Z207" s="277"/>
      <c r="AA207" s="277"/>
      <c r="AB207" s="277"/>
      <c r="AC207" s="277"/>
      <c r="AD207" s="277"/>
      <c r="AE207" s="277"/>
      <c r="AF207" s="277"/>
      <c r="AG207" s="277"/>
      <c r="AH207" s="277"/>
      <c r="AI207" s="277"/>
      <c r="AJ207" s="216"/>
      <c r="AK207" s="304"/>
      <c r="AL207" s="303"/>
      <c r="AM207" s="216"/>
      <c r="AN207" s="304"/>
      <c r="AO207" s="277"/>
      <c r="AP207" s="303"/>
      <c r="AQ207" s="303"/>
      <c r="AR207" s="304"/>
      <c r="AS207" s="303"/>
      <c r="AT207" s="303"/>
      <c r="AU207" s="303"/>
      <c r="AV207" s="303"/>
      <c r="AW207" s="213"/>
      <c r="AX207" s="213"/>
      <c r="AY207" s="213"/>
      <c r="AZ207" s="213"/>
      <c r="BA207" s="213"/>
      <c r="BB207" s="213"/>
      <c r="BC207" s="213"/>
      <c r="BD207" s="213"/>
      <c r="BE207" s="213"/>
      <c r="BF207" s="213"/>
      <c r="BG207" s="213"/>
      <c r="BH207" s="213"/>
      <c r="BI207" s="213"/>
      <c r="BJ207" s="213"/>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row>
    <row r="208" spans="1:243" ht="15.6">
      <c r="A208" s="170">
        <f>A207+1</f>
        <v>128</v>
      </c>
      <c r="B208" s="327">
        <f>B192</f>
        <v>345</v>
      </c>
      <c r="C208" s="907">
        <v>0</v>
      </c>
      <c r="D208" s="603">
        <f t="shared" si="48"/>
        <v>0</v>
      </c>
      <c r="E208" s="603">
        <f t="shared" si="48"/>
        <v>0</v>
      </c>
      <c r="F208" s="603">
        <f t="shared" si="48"/>
        <v>0</v>
      </c>
      <c r="G208" s="603">
        <f t="shared" si="48"/>
        <v>0</v>
      </c>
      <c r="H208" s="603">
        <f t="shared" si="48"/>
        <v>0</v>
      </c>
      <c r="I208" s="603">
        <f t="shared" si="48"/>
        <v>0</v>
      </c>
      <c r="J208" s="603">
        <f t="shared" si="48"/>
        <v>0</v>
      </c>
      <c r="K208" s="603">
        <f t="shared" si="48"/>
        <v>0</v>
      </c>
      <c r="L208" s="603">
        <f t="shared" si="48"/>
        <v>0</v>
      </c>
      <c r="M208" s="603">
        <f t="shared" si="48"/>
        <v>0</v>
      </c>
      <c r="N208" s="603">
        <f t="shared" si="48"/>
        <v>0</v>
      </c>
      <c r="O208" s="603">
        <f t="shared" si="48"/>
        <v>0</v>
      </c>
      <c r="P208" s="333">
        <f>O208</f>
        <v>0</v>
      </c>
      <c r="S208" s="277"/>
      <c r="T208" s="277"/>
      <c r="U208" s="277"/>
      <c r="V208" s="277"/>
      <c r="W208" s="277"/>
      <c r="X208" s="277"/>
      <c r="Y208" s="277"/>
      <c r="Z208" s="277"/>
      <c r="AA208" s="277"/>
      <c r="AB208" s="277"/>
      <c r="AC208" s="277"/>
      <c r="AD208" s="277"/>
      <c r="AE208" s="277"/>
      <c r="AF208" s="277"/>
      <c r="AG208" s="277"/>
      <c r="AH208" s="277"/>
      <c r="AI208" s="277"/>
      <c r="AJ208" s="216"/>
      <c r="AK208" s="304"/>
      <c r="AL208" s="303"/>
      <c r="AM208" s="216"/>
      <c r="AN208" s="304"/>
      <c r="AO208" s="277"/>
      <c r="AP208" s="303"/>
      <c r="AQ208" s="303"/>
      <c r="AR208" s="304"/>
      <c r="AS208" s="303"/>
      <c r="AT208" s="303"/>
      <c r="AU208" s="303"/>
      <c r="AV208" s="303"/>
      <c r="AW208" s="213"/>
      <c r="AX208" s="213"/>
      <c r="AY208" s="213"/>
      <c r="AZ208" s="213"/>
      <c r="BA208" s="213"/>
      <c r="BB208" s="213"/>
      <c r="BC208" s="213"/>
      <c r="BD208" s="213"/>
      <c r="BE208" s="213"/>
      <c r="BF208" s="213"/>
      <c r="BG208" s="213"/>
      <c r="BH208" s="213"/>
      <c r="BI208" s="213"/>
      <c r="BJ208" s="213"/>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row>
    <row r="209" spans="1:243" ht="15.6">
      <c r="A209" s="170">
        <f>A208+1</f>
        <v>129</v>
      </c>
      <c r="B209" s="327">
        <f>B193</f>
        <v>346</v>
      </c>
      <c r="C209" s="907">
        <v>0</v>
      </c>
      <c r="D209" s="603">
        <f t="shared" si="48"/>
        <v>0</v>
      </c>
      <c r="E209" s="603">
        <f t="shared" si="48"/>
        <v>0</v>
      </c>
      <c r="F209" s="603">
        <f t="shared" si="48"/>
        <v>0</v>
      </c>
      <c r="G209" s="603">
        <f t="shared" si="48"/>
        <v>0</v>
      </c>
      <c r="H209" s="603">
        <f t="shared" si="48"/>
        <v>0</v>
      </c>
      <c r="I209" s="603">
        <f t="shared" si="48"/>
        <v>0</v>
      </c>
      <c r="J209" s="603">
        <f t="shared" si="48"/>
        <v>0</v>
      </c>
      <c r="K209" s="603">
        <f t="shared" si="48"/>
        <v>0</v>
      </c>
      <c r="L209" s="603">
        <f t="shared" si="48"/>
        <v>0</v>
      </c>
      <c r="M209" s="603">
        <f t="shared" si="48"/>
        <v>0</v>
      </c>
      <c r="N209" s="603">
        <f t="shared" si="48"/>
        <v>0</v>
      </c>
      <c r="O209" s="603">
        <f t="shared" si="48"/>
        <v>0</v>
      </c>
      <c r="P209" s="333">
        <f>O209</f>
        <v>0</v>
      </c>
      <c r="S209" s="277"/>
      <c r="T209" s="277"/>
      <c r="U209" s="277"/>
      <c r="V209" s="277"/>
      <c r="W209" s="277"/>
      <c r="X209" s="277"/>
      <c r="Y209" s="277"/>
      <c r="Z209" s="277"/>
      <c r="AA209" s="277"/>
      <c r="AB209" s="277"/>
      <c r="AC209" s="277"/>
      <c r="AD209" s="277"/>
      <c r="AE209" s="277"/>
      <c r="AF209" s="277"/>
      <c r="AG209" s="277"/>
      <c r="AH209" s="277"/>
      <c r="AI209" s="277"/>
      <c r="AJ209" s="216"/>
      <c r="AK209" s="304"/>
      <c r="AL209" s="303"/>
      <c r="AM209" s="216"/>
      <c r="AN209" s="304"/>
      <c r="AO209" s="277"/>
      <c r="AP209" s="303"/>
      <c r="AQ209" s="303"/>
      <c r="AR209" s="304"/>
      <c r="AS209" s="303"/>
      <c r="AT209" s="303"/>
      <c r="AU209" s="303"/>
      <c r="AV209" s="303"/>
      <c r="AW209" s="213"/>
      <c r="AX209" s="213"/>
      <c r="AY209" s="213"/>
      <c r="AZ209" s="213"/>
      <c r="BA209" s="213"/>
      <c r="BB209" s="213"/>
      <c r="BC209" s="213"/>
      <c r="BD209" s="213"/>
      <c r="BE209" s="213"/>
      <c r="BF209" s="213"/>
      <c r="BG209" s="213"/>
      <c r="BH209" s="213"/>
      <c r="BI209" s="213"/>
      <c r="BJ209" s="213"/>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row>
    <row r="210" spans="1:243" ht="15.6">
      <c r="A210" s="355"/>
      <c r="B210" s="336"/>
      <c r="C210" s="287"/>
      <c r="D210" s="287"/>
      <c r="E210" s="287"/>
      <c r="F210" s="287"/>
      <c r="G210" s="287"/>
      <c r="H210" s="287"/>
      <c r="I210" s="287"/>
      <c r="J210" s="287"/>
      <c r="K210" s="334"/>
      <c r="L210" s="287"/>
      <c r="M210" s="287"/>
      <c r="N210" s="287"/>
      <c r="O210" s="287"/>
      <c r="P210" s="339"/>
      <c r="S210" s="277"/>
      <c r="T210" s="277"/>
      <c r="U210" s="277"/>
      <c r="V210" s="277"/>
      <c r="W210" s="277"/>
      <c r="X210" s="277"/>
      <c r="Y210" s="277"/>
      <c r="Z210" s="277"/>
      <c r="AA210" s="277"/>
      <c r="AB210" s="277"/>
      <c r="AC210" s="277"/>
      <c r="AD210" s="277"/>
      <c r="AE210" s="277"/>
      <c r="AF210" s="277"/>
      <c r="AG210" s="277"/>
      <c r="AH210" s="277"/>
      <c r="AI210" s="277"/>
      <c r="AJ210" s="216"/>
      <c r="AK210" s="304"/>
      <c r="AL210" s="303"/>
      <c r="AM210" s="216"/>
      <c r="AN210" s="304"/>
      <c r="AO210" s="277"/>
      <c r="AP210" s="303"/>
      <c r="AQ210" s="303"/>
      <c r="AR210" s="304"/>
      <c r="AS210" s="303"/>
      <c r="AT210" s="303"/>
      <c r="AU210" s="303"/>
      <c r="AV210" s="303"/>
      <c r="AW210" s="213"/>
      <c r="AX210" s="213"/>
      <c r="AY210" s="213"/>
      <c r="AZ210" s="213"/>
      <c r="BA210" s="213"/>
      <c r="BB210" s="213"/>
      <c r="BC210" s="213"/>
      <c r="BD210" s="213"/>
      <c r="BE210" s="213"/>
      <c r="BF210" s="213"/>
      <c r="BG210" s="213"/>
      <c r="BH210" s="213"/>
      <c r="BI210" s="213"/>
      <c r="BJ210" s="213"/>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row>
    <row r="211" spans="1:243" ht="15.6">
      <c r="A211" s="336" t="s">
        <v>713</v>
      </c>
      <c r="B211" s="342"/>
      <c r="C211" s="341" t="s">
        <v>476</v>
      </c>
      <c r="D211" s="287"/>
      <c r="E211" s="287"/>
      <c r="F211" s="287"/>
      <c r="G211" s="287"/>
      <c r="H211" s="287"/>
      <c r="I211" s="287"/>
      <c r="J211" s="287"/>
      <c r="K211" s="334"/>
      <c r="L211" s="287"/>
      <c r="M211" s="287"/>
      <c r="N211" s="287"/>
      <c r="O211" s="287"/>
      <c r="P211" s="339"/>
      <c r="S211" s="277"/>
      <c r="T211" s="277"/>
      <c r="U211" s="277"/>
      <c r="V211" s="277"/>
      <c r="W211" s="277"/>
      <c r="X211" s="277"/>
      <c r="Y211" s="277"/>
      <c r="Z211" s="277"/>
      <c r="AA211" s="277"/>
      <c r="AB211" s="277"/>
      <c r="AC211" s="277"/>
      <c r="AD211" s="277"/>
      <c r="AE211" s="277"/>
      <c r="AF211" s="277"/>
      <c r="AG211" s="277"/>
      <c r="AH211" s="277"/>
      <c r="AI211" s="277"/>
      <c r="AJ211" s="216"/>
      <c r="AK211" s="304"/>
      <c r="AL211" s="303"/>
      <c r="AM211" s="216"/>
      <c r="AN211" s="304"/>
      <c r="AO211" s="277"/>
      <c r="AP211" s="303"/>
      <c r="AQ211" s="303"/>
      <c r="AR211" s="304"/>
      <c r="AS211" s="303"/>
      <c r="AT211" s="303"/>
      <c r="AU211" s="303"/>
      <c r="AV211" s="303"/>
      <c r="AW211" s="213"/>
      <c r="AX211" s="213"/>
      <c r="AY211" s="213"/>
      <c r="AZ211" s="213"/>
      <c r="BA211" s="213"/>
      <c r="BB211" s="213"/>
      <c r="BC211" s="213"/>
      <c r="BD211" s="213"/>
      <c r="BE211" s="213"/>
      <c r="BF211" s="213"/>
      <c r="BG211" s="213"/>
      <c r="BH211" s="213"/>
      <c r="BI211" s="213"/>
      <c r="BJ211" s="213"/>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row>
    <row r="212" spans="1:243" ht="15.6">
      <c r="A212" s="355"/>
      <c r="B212" s="356"/>
      <c r="C212" s="287"/>
      <c r="D212" s="287"/>
      <c r="E212" s="287"/>
      <c r="F212" s="287"/>
      <c r="G212" s="287"/>
      <c r="H212" s="287"/>
      <c r="I212" s="287"/>
      <c r="J212" s="287"/>
      <c r="K212" s="334"/>
      <c r="L212" s="287"/>
      <c r="M212" s="287"/>
      <c r="N212" s="287"/>
      <c r="O212" s="287"/>
      <c r="P212" s="339"/>
      <c r="S212" s="277"/>
      <c r="T212" s="277"/>
      <c r="U212" s="277"/>
      <c r="V212" s="277"/>
      <c r="W212" s="277"/>
      <c r="X212" s="277"/>
      <c r="Y212" s="277"/>
      <c r="Z212" s="277"/>
      <c r="AA212" s="277"/>
      <c r="AB212" s="277"/>
      <c r="AC212" s="277"/>
      <c r="AD212" s="277"/>
      <c r="AE212" s="277"/>
      <c r="AF212" s="277"/>
      <c r="AG212" s="277"/>
      <c r="AH212" s="277"/>
      <c r="AI212" s="277"/>
      <c r="AJ212" s="216"/>
      <c r="AK212" s="304"/>
      <c r="AL212" s="303"/>
      <c r="AM212" s="216"/>
      <c r="AN212" s="304"/>
      <c r="AO212" s="277"/>
      <c r="AP212" s="303"/>
      <c r="AQ212" s="303"/>
      <c r="AR212" s="304"/>
      <c r="AS212" s="303"/>
      <c r="AT212" s="303"/>
      <c r="AU212" s="303"/>
      <c r="AV212" s="303"/>
      <c r="AW212" s="213"/>
      <c r="AX212" s="213"/>
      <c r="AY212" s="213"/>
      <c r="AZ212" s="213"/>
      <c r="BA212" s="213"/>
      <c r="BB212" s="213"/>
      <c r="BC212" s="213"/>
      <c r="BD212" s="213"/>
      <c r="BE212" s="213"/>
      <c r="BF212" s="213"/>
      <c r="BG212" s="213"/>
      <c r="BH212" s="213"/>
      <c r="BI212" s="213"/>
      <c r="BJ212" s="213"/>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row>
    <row r="213" spans="1:243" ht="18.600000000000001">
      <c r="A213" s="355" t="s">
        <v>494</v>
      </c>
      <c r="B213" s="355" t="s">
        <v>1078</v>
      </c>
      <c r="C213" s="334"/>
      <c r="D213" s="1778" t="s">
        <v>714</v>
      </c>
      <c r="E213" s="1779"/>
      <c r="F213" s="1779"/>
      <c r="G213" s="1779"/>
      <c r="H213" s="1779"/>
      <c r="I213" s="1779"/>
      <c r="J213" s="1779"/>
      <c r="K213" s="1779"/>
      <c r="L213" s="1779"/>
      <c r="M213" s="1779"/>
      <c r="N213" s="1779"/>
      <c r="O213" s="1779"/>
      <c r="P213" s="357"/>
      <c r="S213" s="277"/>
      <c r="T213" s="277"/>
      <c r="U213" s="277"/>
      <c r="V213" s="277"/>
      <c r="W213" s="277"/>
      <c r="X213" s="277"/>
      <c r="Y213" s="277"/>
      <c r="Z213" s="277"/>
      <c r="AA213" s="277"/>
      <c r="AB213" s="277"/>
      <c r="AC213" s="277"/>
      <c r="AD213" s="277"/>
      <c r="AE213" s="277"/>
      <c r="AF213" s="277"/>
      <c r="AG213" s="277"/>
      <c r="AH213" s="277"/>
      <c r="AI213" s="277"/>
      <c r="AJ213" s="216"/>
      <c r="AK213" s="304"/>
      <c r="AL213" s="303"/>
      <c r="AM213" s="216"/>
      <c r="AN213" s="304"/>
      <c r="AO213" s="277"/>
      <c r="AP213" s="303"/>
      <c r="AQ213" s="303"/>
      <c r="AR213" s="304"/>
      <c r="AS213" s="303"/>
      <c r="AT213" s="303"/>
      <c r="AU213" s="303"/>
      <c r="AV213" s="303"/>
      <c r="AW213" s="213"/>
      <c r="AX213" s="213"/>
      <c r="AY213" s="213"/>
      <c r="AZ213" s="213"/>
      <c r="BA213" s="213"/>
      <c r="BB213" s="213"/>
      <c r="BC213" s="213"/>
      <c r="BD213" s="213"/>
      <c r="BE213" s="213"/>
      <c r="BF213" s="213"/>
      <c r="BG213" s="213"/>
      <c r="BH213" s="213"/>
      <c r="BI213" s="213"/>
      <c r="BJ213" s="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row>
    <row r="214" spans="1:243" ht="15.6">
      <c r="A214" s="322" t="s">
        <v>928</v>
      </c>
      <c r="B214" s="322" t="s">
        <v>928</v>
      </c>
      <c r="C214" s="335"/>
      <c r="D214" s="358" t="s">
        <v>715</v>
      </c>
      <c r="E214" s="358" t="s">
        <v>716</v>
      </c>
      <c r="F214" s="358" t="s">
        <v>717</v>
      </c>
      <c r="G214" s="358" t="s">
        <v>718</v>
      </c>
      <c r="H214" s="358" t="s">
        <v>719</v>
      </c>
      <c r="I214" s="358" t="s">
        <v>720</v>
      </c>
      <c r="J214" s="358" t="s">
        <v>721</v>
      </c>
      <c r="K214" s="358" t="s">
        <v>722</v>
      </c>
      <c r="L214" s="358" t="s">
        <v>723</v>
      </c>
      <c r="M214" s="358" t="s">
        <v>724</v>
      </c>
      <c r="N214" s="358" t="s">
        <v>725</v>
      </c>
      <c r="O214" s="358" t="s">
        <v>726</v>
      </c>
      <c r="P214" s="359"/>
      <c r="S214" s="277"/>
      <c r="T214" s="277"/>
      <c r="U214" s="277"/>
      <c r="V214" s="277"/>
      <c r="W214" s="277"/>
      <c r="X214" s="277"/>
      <c r="Y214" s="277"/>
      <c r="Z214" s="277"/>
      <c r="AA214" s="277"/>
      <c r="AB214" s="277"/>
      <c r="AC214" s="277"/>
      <c r="AD214" s="277"/>
      <c r="AE214" s="277"/>
      <c r="AF214" s="277"/>
      <c r="AG214" s="277"/>
      <c r="AH214" s="277"/>
      <c r="AI214" s="277"/>
      <c r="AJ214" s="216"/>
      <c r="AK214" s="304"/>
      <c r="AL214" s="303"/>
      <c r="AM214" s="216"/>
      <c r="AN214" s="304"/>
      <c r="AO214" s="277"/>
      <c r="AP214" s="303"/>
      <c r="AQ214" s="303"/>
      <c r="AR214" s="304"/>
      <c r="AS214" s="303"/>
      <c r="AT214" s="303"/>
      <c r="AU214" s="303"/>
      <c r="AV214" s="303"/>
      <c r="AW214" s="213"/>
      <c r="AX214" s="213"/>
      <c r="AY214" s="213"/>
      <c r="AZ214" s="213"/>
      <c r="BA214" s="213"/>
      <c r="BB214" s="213"/>
      <c r="BC214" s="213"/>
      <c r="BD214" s="213"/>
      <c r="BE214" s="213"/>
      <c r="BF214" s="213"/>
      <c r="BG214" s="213"/>
      <c r="BH214" s="213"/>
      <c r="BI214" s="213"/>
      <c r="BJ214" s="213"/>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row>
    <row r="215" spans="1:243" ht="15.6">
      <c r="A215" s="170">
        <f>A209+1</f>
        <v>130</v>
      </c>
      <c r="B215" s="327">
        <v>341</v>
      </c>
      <c r="C215" s="287"/>
      <c r="D215" s="905">
        <v>0</v>
      </c>
      <c r="E215" s="905">
        <v>0</v>
      </c>
      <c r="F215" s="905">
        <v>0</v>
      </c>
      <c r="G215" s="905">
        <v>0</v>
      </c>
      <c r="H215" s="905">
        <v>0</v>
      </c>
      <c r="I215" s="905">
        <v>0</v>
      </c>
      <c r="J215" s="905">
        <v>0</v>
      </c>
      <c r="K215" s="905">
        <v>0</v>
      </c>
      <c r="L215" s="905">
        <v>0</v>
      </c>
      <c r="M215" s="905">
        <v>0</v>
      </c>
      <c r="N215" s="905">
        <v>0</v>
      </c>
      <c r="O215" s="905">
        <v>0</v>
      </c>
      <c r="P215" s="339"/>
      <c r="S215" s="277"/>
      <c r="T215" s="277"/>
      <c r="U215" s="277"/>
      <c r="V215" s="277"/>
      <c r="W215" s="277"/>
      <c r="X215" s="277"/>
      <c r="Y215" s="277"/>
      <c r="Z215" s="277"/>
      <c r="AA215" s="277"/>
      <c r="AB215" s="277"/>
      <c r="AC215" s="277"/>
      <c r="AD215" s="277"/>
      <c r="AE215" s="277"/>
      <c r="AF215" s="277"/>
      <c r="AG215" s="277"/>
      <c r="AH215" s="277"/>
      <c r="AI215" s="277"/>
      <c r="AJ215" s="216"/>
      <c r="AK215" s="304"/>
      <c r="AL215" s="303"/>
      <c r="AM215" s="216"/>
      <c r="AN215" s="304"/>
      <c r="AO215" s="277"/>
      <c r="AP215" s="303"/>
      <c r="AQ215" s="303"/>
      <c r="AR215" s="304"/>
      <c r="AS215" s="303"/>
      <c r="AT215" s="303"/>
      <c r="AU215" s="303"/>
      <c r="AV215" s="303"/>
      <c r="AW215" s="213"/>
      <c r="AX215" s="213"/>
      <c r="AY215" s="213"/>
      <c r="AZ215" s="213"/>
      <c r="BA215" s="213"/>
      <c r="BB215" s="213"/>
      <c r="BC215" s="213"/>
      <c r="BD215" s="213"/>
      <c r="BE215" s="213"/>
      <c r="BF215" s="213"/>
      <c r="BG215" s="213"/>
      <c r="BH215" s="213"/>
      <c r="BI215" s="213"/>
      <c r="BJ215" s="213"/>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row>
    <row r="216" spans="1:243" ht="15.6">
      <c r="A216" s="170">
        <f>A215+1</f>
        <v>131</v>
      </c>
      <c r="B216" s="327">
        <v>342</v>
      </c>
      <c r="C216" s="287"/>
      <c r="D216" s="907">
        <v>0</v>
      </c>
      <c r="E216" s="907">
        <v>0</v>
      </c>
      <c r="F216" s="907">
        <v>0</v>
      </c>
      <c r="G216" s="907">
        <v>0</v>
      </c>
      <c r="H216" s="907">
        <v>0</v>
      </c>
      <c r="I216" s="907">
        <v>0</v>
      </c>
      <c r="J216" s="907">
        <v>0</v>
      </c>
      <c r="K216" s="907">
        <v>0</v>
      </c>
      <c r="L216" s="907">
        <v>0</v>
      </c>
      <c r="M216" s="907">
        <v>0</v>
      </c>
      <c r="N216" s="907">
        <v>0</v>
      </c>
      <c r="O216" s="907">
        <v>0</v>
      </c>
      <c r="P216" s="339"/>
      <c r="S216" s="277"/>
      <c r="T216" s="277"/>
      <c r="U216" s="277"/>
      <c r="V216" s="277"/>
      <c r="W216" s="277"/>
      <c r="X216" s="277"/>
      <c r="Y216" s="277"/>
      <c r="Z216" s="277"/>
      <c r="AA216" s="277"/>
      <c r="AB216" s="277"/>
      <c r="AC216" s="277"/>
      <c r="AD216" s="277"/>
      <c r="AE216" s="277"/>
      <c r="AF216" s="277"/>
      <c r="AG216" s="277"/>
      <c r="AH216" s="277"/>
      <c r="AI216" s="277"/>
      <c r="AJ216" s="216"/>
      <c r="AK216" s="304"/>
      <c r="AL216" s="303"/>
      <c r="AM216" s="216"/>
      <c r="AN216" s="304"/>
      <c r="AO216" s="277"/>
      <c r="AP216" s="303"/>
      <c r="AQ216" s="303"/>
      <c r="AR216" s="304"/>
      <c r="AS216" s="303"/>
      <c r="AT216" s="303"/>
      <c r="AU216" s="303"/>
      <c r="AV216" s="303"/>
      <c r="AW216" s="213"/>
      <c r="AX216" s="213"/>
      <c r="AY216" s="213"/>
      <c r="AZ216" s="213"/>
      <c r="BA216" s="213"/>
      <c r="BB216" s="213"/>
      <c r="BC216" s="213"/>
      <c r="BD216" s="213"/>
      <c r="BE216" s="213"/>
      <c r="BF216" s="213"/>
      <c r="BG216" s="213"/>
      <c r="BH216" s="213"/>
      <c r="BI216" s="213"/>
      <c r="BJ216" s="213"/>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row>
    <row r="217" spans="1:243" ht="15.6">
      <c r="A217" s="170">
        <f>A216+1</f>
        <v>132</v>
      </c>
      <c r="B217" s="327">
        <v>344</v>
      </c>
      <c r="C217" s="287"/>
      <c r="D217" s="907">
        <v>0</v>
      </c>
      <c r="E217" s="907">
        <v>0</v>
      </c>
      <c r="F217" s="907">
        <v>0</v>
      </c>
      <c r="G217" s="907">
        <v>0</v>
      </c>
      <c r="H217" s="907">
        <v>0</v>
      </c>
      <c r="I217" s="907">
        <v>0</v>
      </c>
      <c r="J217" s="907">
        <v>0</v>
      </c>
      <c r="K217" s="907">
        <v>0</v>
      </c>
      <c r="L217" s="907">
        <v>0</v>
      </c>
      <c r="M217" s="907">
        <v>0</v>
      </c>
      <c r="N217" s="907">
        <v>0</v>
      </c>
      <c r="O217" s="907">
        <v>0</v>
      </c>
      <c r="P217" s="339"/>
      <c r="S217" s="277"/>
      <c r="T217" s="277"/>
      <c r="U217" s="277"/>
      <c r="V217" s="277"/>
      <c r="W217" s="277"/>
      <c r="X217" s="277"/>
      <c r="Y217" s="277"/>
      <c r="Z217" s="277"/>
      <c r="AA217" s="277"/>
      <c r="AB217" s="277"/>
      <c r="AC217" s="277"/>
      <c r="AD217" s="277"/>
      <c r="AE217" s="277"/>
      <c r="AF217" s="277"/>
      <c r="AG217" s="277"/>
      <c r="AH217" s="277"/>
      <c r="AI217" s="277"/>
      <c r="AJ217" s="216"/>
      <c r="AK217" s="304"/>
      <c r="AL217" s="303"/>
      <c r="AM217" s="216"/>
      <c r="AN217" s="304"/>
      <c r="AO217" s="277"/>
      <c r="AP217" s="303"/>
      <c r="AQ217" s="303"/>
      <c r="AR217" s="304"/>
      <c r="AS217" s="303"/>
      <c r="AT217" s="303"/>
      <c r="AU217" s="303"/>
      <c r="AV217" s="303"/>
      <c r="AW217" s="213"/>
      <c r="AX217" s="213"/>
      <c r="AY217" s="213"/>
      <c r="AZ217" s="213"/>
      <c r="BA217" s="213"/>
      <c r="BB217" s="213"/>
      <c r="BC217" s="213"/>
      <c r="BD217" s="213"/>
      <c r="BE217" s="213"/>
      <c r="BF217" s="213"/>
      <c r="BG217" s="213"/>
      <c r="BH217" s="213"/>
      <c r="BI217" s="213"/>
      <c r="BJ217" s="213"/>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row>
    <row r="218" spans="1:243" ht="15.6">
      <c r="A218" s="170">
        <f>A217+1</f>
        <v>133</v>
      </c>
      <c r="B218" s="327">
        <v>345</v>
      </c>
      <c r="C218" s="287"/>
      <c r="D218" s="907">
        <v>0</v>
      </c>
      <c r="E218" s="907">
        <v>0</v>
      </c>
      <c r="F218" s="907">
        <v>0</v>
      </c>
      <c r="G218" s="907">
        <v>0</v>
      </c>
      <c r="H218" s="907">
        <v>0</v>
      </c>
      <c r="I218" s="907">
        <v>0</v>
      </c>
      <c r="J218" s="907">
        <v>0</v>
      </c>
      <c r="K218" s="907">
        <v>0</v>
      </c>
      <c r="L218" s="907">
        <v>0</v>
      </c>
      <c r="M218" s="907">
        <v>0</v>
      </c>
      <c r="N218" s="907">
        <v>0</v>
      </c>
      <c r="O218" s="907">
        <v>0</v>
      </c>
      <c r="P218" s="339"/>
      <c r="S218" s="277"/>
      <c r="T218" s="277"/>
      <c r="U218" s="277"/>
      <c r="V218" s="277"/>
      <c r="W218" s="277"/>
      <c r="X218" s="277"/>
      <c r="Y218" s="277"/>
      <c r="Z218" s="277"/>
      <c r="AA218" s="277"/>
      <c r="AB218" s="277"/>
      <c r="AC218" s="277"/>
      <c r="AD218" s="277"/>
      <c r="AE218" s="277"/>
      <c r="AF218" s="277"/>
      <c r="AG218" s="277"/>
      <c r="AH218" s="277"/>
      <c r="AI218" s="277"/>
      <c r="AJ218" s="216"/>
      <c r="AK218" s="304"/>
      <c r="AL218" s="303"/>
      <c r="AM218" s="216"/>
      <c r="AN218" s="304"/>
      <c r="AO218" s="277"/>
      <c r="AP218" s="303"/>
      <c r="AQ218" s="303"/>
      <c r="AR218" s="304"/>
      <c r="AS218" s="303"/>
      <c r="AT218" s="303"/>
      <c r="AU218" s="303"/>
      <c r="AV218" s="303"/>
      <c r="AW218" s="213"/>
      <c r="AX218" s="213"/>
      <c r="AY218" s="213"/>
      <c r="AZ218" s="213"/>
      <c r="BA218" s="213"/>
      <c r="BB218" s="213"/>
      <c r="BC218" s="213"/>
      <c r="BD218" s="213"/>
      <c r="BE218" s="213"/>
      <c r="BF218" s="213"/>
      <c r="BG218" s="213"/>
      <c r="BH218" s="213"/>
      <c r="BI218" s="213"/>
      <c r="BJ218" s="213"/>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row>
    <row r="219" spans="1:243" ht="15.6">
      <c r="A219" s="170">
        <f>A218+1</f>
        <v>134</v>
      </c>
      <c r="B219" s="327">
        <v>346</v>
      </c>
      <c r="C219" s="287"/>
      <c r="D219" s="907">
        <v>0</v>
      </c>
      <c r="E219" s="907">
        <v>0</v>
      </c>
      <c r="F219" s="907">
        <v>0</v>
      </c>
      <c r="G219" s="907">
        <v>0</v>
      </c>
      <c r="H219" s="907">
        <v>0</v>
      </c>
      <c r="I219" s="907">
        <v>0</v>
      </c>
      <c r="J219" s="907">
        <v>0</v>
      </c>
      <c r="K219" s="907">
        <v>0</v>
      </c>
      <c r="L219" s="907">
        <v>0</v>
      </c>
      <c r="M219" s="907">
        <v>0</v>
      </c>
      <c r="N219" s="907">
        <v>0</v>
      </c>
      <c r="O219" s="907">
        <v>0</v>
      </c>
      <c r="P219" s="339"/>
      <c r="S219" s="277"/>
      <c r="T219" s="277"/>
      <c r="U219" s="277"/>
      <c r="V219" s="277"/>
      <c r="W219" s="277"/>
      <c r="X219" s="277"/>
      <c r="Y219" s="277"/>
      <c r="Z219" s="277"/>
      <c r="AA219" s="277"/>
      <c r="AB219" s="277"/>
      <c r="AC219" s="277"/>
      <c r="AD219" s="277"/>
      <c r="AE219" s="277"/>
      <c r="AF219" s="277"/>
      <c r="AG219" s="277"/>
      <c r="AH219" s="277"/>
      <c r="AI219" s="277"/>
      <c r="AJ219" s="216"/>
      <c r="AK219" s="304"/>
      <c r="AL219" s="303"/>
      <c r="AM219" s="216"/>
      <c r="AN219" s="304"/>
      <c r="AO219" s="277"/>
      <c r="AP219" s="303"/>
      <c r="AQ219" s="303"/>
      <c r="AR219" s="304"/>
      <c r="AS219" s="303"/>
      <c r="AT219" s="303"/>
      <c r="AU219" s="303"/>
      <c r="AV219" s="303"/>
      <c r="AW219" s="213"/>
      <c r="AX219" s="213"/>
      <c r="AY219" s="213"/>
      <c r="AZ219" s="213"/>
      <c r="BA219" s="213"/>
      <c r="BB219" s="213"/>
      <c r="BC219" s="213"/>
      <c r="BD219" s="213"/>
      <c r="BE219" s="213"/>
      <c r="BF219" s="213"/>
      <c r="BG219" s="213"/>
      <c r="BH219" s="213"/>
      <c r="BI219" s="213"/>
      <c r="BJ219" s="213"/>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row>
    <row r="220" spans="1:243" ht="15.6">
      <c r="A220" s="355"/>
      <c r="B220" s="336"/>
      <c r="C220" s="287"/>
      <c r="D220" s="287"/>
      <c r="E220" s="287"/>
      <c r="F220" s="287"/>
      <c r="G220" s="287"/>
      <c r="H220" s="287"/>
      <c r="I220" s="287"/>
      <c r="J220" s="287"/>
      <c r="K220" s="334"/>
      <c r="L220" s="287"/>
      <c r="M220" s="287"/>
      <c r="N220" s="287"/>
      <c r="O220" s="287"/>
      <c r="P220" s="339"/>
      <c r="S220" s="277"/>
      <c r="T220" s="277"/>
      <c r="U220" s="277"/>
      <c r="V220" s="277"/>
      <c r="W220" s="277"/>
      <c r="X220" s="277"/>
      <c r="Y220" s="277"/>
      <c r="Z220" s="277"/>
      <c r="AA220" s="277"/>
      <c r="AB220" s="277"/>
      <c r="AC220" s="277"/>
      <c r="AD220" s="277"/>
      <c r="AE220" s="277"/>
      <c r="AF220" s="277"/>
      <c r="AG220" s="277"/>
      <c r="AH220" s="277"/>
      <c r="AI220" s="277"/>
      <c r="AJ220" s="216"/>
      <c r="AK220" s="304"/>
      <c r="AL220" s="303"/>
      <c r="AM220" s="216"/>
      <c r="AN220" s="304"/>
      <c r="AO220" s="277"/>
      <c r="AP220" s="303"/>
      <c r="AQ220" s="303"/>
      <c r="AR220" s="304"/>
      <c r="AS220" s="303"/>
      <c r="AT220" s="303"/>
      <c r="AU220" s="303"/>
      <c r="AV220" s="303"/>
      <c r="AW220" s="213"/>
      <c r="AX220" s="213"/>
      <c r="AY220" s="213"/>
      <c r="AZ220" s="213"/>
      <c r="BA220" s="213"/>
      <c r="BB220" s="213"/>
      <c r="BC220" s="213"/>
      <c r="BD220" s="213"/>
      <c r="BE220" s="213"/>
      <c r="BF220" s="213"/>
      <c r="BG220" s="213"/>
      <c r="BH220" s="213"/>
      <c r="BI220" s="213"/>
      <c r="BJ220" s="213"/>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row>
    <row r="221" spans="1:243" ht="18.600000000000001">
      <c r="A221" s="355"/>
      <c r="B221" s="355" t="s">
        <v>1078</v>
      </c>
      <c r="C221" s="334" t="s">
        <v>727</v>
      </c>
      <c r="D221" s="1778" t="s">
        <v>728</v>
      </c>
      <c r="E221" s="1779"/>
      <c r="F221" s="1779"/>
      <c r="G221" s="1779"/>
      <c r="H221" s="1779"/>
      <c r="I221" s="1779"/>
      <c r="J221" s="1779"/>
      <c r="K221" s="1779"/>
      <c r="L221" s="1779"/>
      <c r="M221" s="1779"/>
      <c r="N221" s="1779"/>
      <c r="O221" s="1779"/>
      <c r="P221" s="1779"/>
      <c r="S221" s="277"/>
      <c r="T221" s="277"/>
      <c r="U221" s="277"/>
      <c r="V221" s="277"/>
      <c r="W221" s="277"/>
      <c r="X221" s="277"/>
      <c r="Y221" s="277"/>
      <c r="Z221" s="277"/>
      <c r="AA221" s="277"/>
      <c r="AB221" s="277"/>
      <c r="AC221" s="277"/>
      <c r="AD221" s="277"/>
      <c r="AE221" s="277"/>
      <c r="AF221" s="277"/>
      <c r="AG221" s="277"/>
      <c r="AH221" s="277"/>
      <c r="AI221" s="277"/>
      <c r="AJ221" s="216"/>
      <c r="AK221" s="304"/>
      <c r="AL221" s="303"/>
      <c r="AM221" s="216"/>
      <c r="AN221" s="304"/>
      <c r="AO221" s="277"/>
      <c r="AP221" s="303"/>
      <c r="AQ221" s="303"/>
      <c r="AR221" s="304"/>
      <c r="AS221" s="303"/>
      <c r="AT221" s="303"/>
      <c r="AU221" s="303"/>
      <c r="AV221" s="303"/>
      <c r="AW221" s="213"/>
      <c r="AX221" s="213"/>
      <c r="AY221" s="213"/>
      <c r="AZ221" s="213"/>
      <c r="BA221" s="213"/>
      <c r="BB221" s="213"/>
      <c r="BC221" s="213"/>
      <c r="BD221" s="213"/>
      <c r="BE221" s="213"/>
      <c r="BF221" s="213"/>
      <c r="BG221" s="213"/>
      <c r="BH221" s="213"/>
      <c r="BI221" s="213"/>
      <c r="BJ221" s="213"/>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row>
    <row r="222" spans="1:243" ht="18.600000000000001">
      <c r="A222" s="322"/>
      <c r="B222" s="322" t="s">
        <v>928</v>
      </c>
      <c r="C222" s="335" t="s">
        <v>729</v>
      </c>
      <c r="D222" s="358" t="s">
        <v>716</v>
      </c>
      <c r="E222" s="358" t="s">
        <v>717</v>
      </c>
      <c r="F222" s="358" t="s">
        <v>718</v>
      </c>
      <c r="G222" s="358" t="s">
        <v>719</v>
      </c>
      <c r="H222" s="358" t="s">
        <v>720</v>
      </c>
      <c r="I222" s="358" t="s">
        <v>721</v>
      </c>
      <c r="J222" s="358" t="s">
        <v>722</v>
      </c>
      <c r="K222" s="358" t="s">
        <v>723</v>
      </c>
      <c r="L222" s="358" t="s">
        <v>724</v>
      </c>
      <c r="M222" s="358" t="s">
        <v>725</v>
      </c>
      <c r="N222" s="358" t="s">
        <v>726</v>
      </c>
      <c r="O222" s="358" t="s">
        <v>715</v>
      </c>
      <c r="P222" s="360" t="s">
        <v>468</v>
      </c>
      <c r="S222" s="277"/>
      <c r="T222" s="277"/>
      <c r="U222" s="277"/>
      <c r="V222" s="277"/>
      <c r="W222" s="277"/>
      <c r="X222" s="277"/>
      <c r="Y222" s="277"/>
      <c r="Z222" s="277"/>
      <c r="AA222" s="277"/>
      <c r="AB222" s="277"/>
      <c r="AC222" s="277"/>
      <c r="AD222" s="277"/>
      <c r="AE222" s="277"/>
      <c r="AF222" s="277"/>
      <c r="AG222" s="277"/>
      <c r="AH222" s="277"/>
      <c r="AI222" s="277"/>
      <c r="AJ222" s="216"/>
      <c r="AK222" s="304"/>
      <c r="AL222" s="303"/>
      <c r="AM222" s="216"/>
      <c r="AN222" s="304"/>
      <c r="AO222" s="277"/>
      <c r="AP222" s="303"/>
      <c r="AQ222" s="303"/>
      <c r="AR222" s="304"/>
      <c r="AS222" s="303"/>
      <c r="AT222" s="303"/>
      <c r="AU222" s="303"/>
      <c r="AV222" s="303"/>
      <c r="AW222" s="213"/>
      <c r="AX222" s="213"/>
      <c r="AY222" s="213"/>
      <c r="AZ222" s="213"/>
      <c r="BA222" s="213"/>
      <c r="BB222" s="213"/>
      <c r="BC222" s="213"/>
      <c r="BD222" s="213"/>
      <c r="BE222" s="213"/>
      <c r="BF222" s="213"/>
      <c r="BG222" s="213"/>
      <c r="BH222" s="213"/>
      <c r="BI222" s="213"/>
      <c r="BJ222" s="213"/>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row>
    <row r="223" spans="1:243" ht="15.6">
      <c r="A223" s="170">
        <f>A219+1</f>
        <v>135</v>
      </c>
      <c r="B223" s="327">
        <f>B215</f>
        <v>341</v>
      </c>
      <c r="C223" s="908"/>
      <c r="D223" s="603">
        <f t="shared" ref="D223:O227" si="49">D215*$C223/100/12</f>
        <v>0</v>
      </c>
      <c r="E223" s="603">
        <f t="shared" si="49"/>
        <v>0</v>
      </c>
      <c r="F223" s="603">
        <f t="shared" si="49"/>
        <v>0</v>
      </c>
      <c r="G223" s="603">
        <f t="shared" si="49"/>
        <v>0</v>
      </c>
      <c r="H223" s="603">
        <f t="shared" si="49"/>
        <v>0</v>
      </c>
      <c r="I223" s="603">
        <f t="shared" si="49"/>
        <v>0</v>
      </c>
      <c r="J223" s="603">
        <f t="shared" si="49"/>
        <v>0</v>
      </c>
      <c r="K223" s="603">
        <f t="shared" si="49"/>
        <v>0</v>
      </c>
      <c r="L223" s="603">
        <f t="shared" si="49"/>
        <v>0</v>
      </c>
      <c r="M223" s="603">
        <f t="shared" si="49"/>
        <v>0</v>
      </c>
      <c r="N223" s="603">
        <f t="shared" si="49"/>
        <v>0</v>
      </c>
      <c r="O223" s="603">
        <f t="shared" si="49"/>
        <v>0</v>
      </c>
      <c r="P223" s="333">
        <f>SUM(D223:O223)</f>
        <v>0</v>
      </c>
      <c r="S223" s="277"/>
      <c r="T223" s="277"/>
      <c r="U223" s="277"/>
      <c r="V223" s="277"/>
      <c r="W223" s="277"/>
      <c r="X223" s="277"/>
      <c r="Y223" s="277"/>
      <c r="Z223" s="277"/>
      <c r="AA223" s="277"/>
      <c r="AB223" s="277"/>
      <c r="AC223" s="277"/>
      <c r="AD223" s="277"/>
      <c r="AE223" s="277"/>
      <c r="AF223" s="277"/>
      <c r="AG223" s="277"/>
      <c r="AH223" s="277"/>
      <c r="AI223" s="277"/>
      <c r="AJ223" s="216"/>
      <c r="AK223" s="304"/>
      <c r="AL223" s="303"/>
      <c r="AM223" s="216"/>
      <c r="AN223" s="304"/>
      <c r="AO223" s="277"/>
      <c r="AP223" s="303"/>
      <c r="AQ223" s="303"/>
      <c r="AR223" s="304"/>
      <c r="AS223" s="303"/>
      <c r="AT223" s="303"/>
      <c r="AU223" s="303"/>
      <c r="AV223" s="303"/>
      <c r="AW223" s="213"/>
      <c r="AX223" s="213"/>
      <c r="AY223" s="213"/>
      <c r="AZ223" s="213"/>
      <c r="BA223" s="213"/>
      <c r="BB223" s="213"/>
      <c r="BC223" s="213"/>
      <c r="BD223" s="213"/>
      <c r="BE223" s="213"/>
      <c r="BF223" s="213"/>
      <c r="BG223" s="213"/>
      <c r="BH223" s="213"/>
      <c r="BI223" s="213"/>
      <c r="BJ223" s="21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row>
    <row r="224" spans="1:243" ht="15.6">
      <c r="A224" s="170">
        <f>A223+1</f>
        <v>136</v>
      </c>
      <c r="B224" s="327">
        <f>B216</f>
        <v>342</v>
      </c>
      <c r="C224" s="908"/>
      <c r="D224" s="603">
        <f t="shared" si="49"/>
        <v>0</v>
      </c>
      <c r="E224" s="603">
        <f t="shared" si="49"/>
        <v>0</v>
      </c>
      <c r="F224" s="603">
        <f t="shared" si="49"/>
        <v>0</v>
      </c>
      <c r="G224" s="603">
        <f t="shared" si="49"/>
        <v>0</v>
      </c>
      <c r="H224" s="603">
        <f t="shared" si="49"/>
        <v>0</v>
      </c>
      <c r="I224" s="603">
        <f t="shared" si="49"/>
        <v>0</v>
      </c>
      <c r="J224" s="603">
        <f t="shared" si="49"/>
        <v>0</v>
      </c>
      <c r="K224" s="603">
        <f t="shared" si="49"/>
        <v>0</v>
      </c>
      <c r="L224" s="603">
        <f t="shared" si="49"/>
        <v>0</v>
      </c>
      <c r="M224" s="603">
        <f t="shared" si="49"/>
        <v>0</v>
      </c>
      <c r="N224" s="603">
        <f t="shared" si="49"/>
        <v>0</v>
      </c>
      <c r="O224" s="603">
        <f t="shared" si="49"/>
        <v>0</v>
      </c>
      <c r="P224" s="333">
        <f>SUM(D224:O224)</f>
        <v>0</v>
      </c>
      <c r="S224" s="277"/>
      <c r="T224" s="277"/>
      <c r="U224" s="277"/>
      <c r="V224" s="277"/>
      <c r="W224" s="277"/>
      <c r="X224" s="277"/>
      <c r="Y224" s="277"/>
      <c r="Z224" s="277"/>
      <c r="AA224" s="277"/>
      <c r="AB224" s="277"/>
      <c r="AC224" s="277"/>
      <c r="AD224" s="277"/>
      <c r="AE224" s="277"/>
      <c r="AF224" s="277"/>
      <c r="AG224" s="277"/>
      <c r="AH224" s="277"/>
      <c r="AI224" s="277"/>
      <c r="AJ224" s="216"/>
      <c r="AK224" s="304"/>
      <c r="AL224" s="303"/>
      <c r="AM224" s="216"/>
      <c r="AN224" s="304"/>
      <c r="AO224" s="277"/>
      <c r="AP224" s="303"/>
      <c r="AQ224" s="303"/>
      <c r="AR224" s="304"/>
      <c r="AS224" s="303"/>
      <c r="AT224" s="303"/>
      <c r="AU224" s="303"/>
      <c r="AV224" s="303"/>
      <c r="AW224" s="213"/>
      <c r="AX224" s="213"/>
      <c r="AY224" s="213"/>
      <c r="AZ224" s="213"/>
      <c r="BA224" s="213"/>
      <c r="BB224" s="213"/>
      <c r="BC224" s="213"/>
      <c r="BD224" s="213"/>
      <c r="BE224" s="213"/>
      <c r="BF224" s="213"/>
      <c r="BG224" s="213"/>
      <c r="BH224" s="213"/>
      <c r="BI224" s="213"/>
      <c r="BJ224" s="213"/>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row>
    <row r="225" spans="1:243" ht="15.6">
      <c r="A225" s="170">
        <f>A224+1</f>
        <v>137</v>
      </c>
      <c r="B225" s="327">
        <f>B217</f>
        <v>344</v>
      </c>
      <c r="C225" s="908"/>
      <c r="D225" s="603">
        <f t="shared" si="49"/>
        <v>0</v>
      </c>
      <c r="E225" s="603">
        <f t="shared" si="49"/>
        <v>0</v>
      </c>
      <c r="F225" s="603">
        <f t="shared" si="49"/>
        <v>0</v>
      </c>
      <c r="G225" s="603">
        <f t="shared" si="49"/>
        <v>0</v>
      </c>
      <c r="H225" s="603">
        <f t="shared" si="49"/>
        <v>0</v>
      </c>
      <c r="I225" s="603">
        <f t="shared" si="49"/>
        <v>0</v>
      </c>
      <c r="J225" s="603">
        <f t="shared" si="49"/>
        <v>0</v>
      </c>
      <c r="K225" s="603">
        <f t="shared" si="49"/>
        <v>0</v>
      </c>
      <c r="L225" s="603">
        <f t="shared" si="49"/>
        <v>0</v>
      </c>
      <c r="M225" s="603">
        <f t="shared" si="49"/>
        <v>0</v>
      </c>
      <c r="N225" s="603">
        <f t="shared" si="49"/>
        <v>0</v>
      </c>
      <c r="O225" s="603">
        <f t="shared" si="49"/>
        <v>0</v>
      </c>
      <c r="P225" s="333">
        <f>SUM(D225:O225)</f>
        <v>0</v>
      </c>
      <c r="S225" s="277"/>
      <c r="T225" s="277"/>
      <c r="U225" s="277"/>
      <c r="V225" s="277"/>
      <c r="W225" s="277"/>
      <c r="X225" s="277"/>
      <c r="Y225" s="277"/>
      <c r="Z225" s="277"/>
      <c r="AA225" s="277"/>
      <c r="AB225" s="277"/>
      <c r="AC225" s="277"/>
      <c r="AD225" s="277"/>
      <c r="AE225" s="277"/>
      <c r="AF225" s="277"/>
      <c r="AG225" s="277"/>
      <c r="AH225" s="277"/>
      <c r="AI225" s="277"/>
      <c r="AJ225" s="216"/>
      <c r="AK225" s="304"/>
      <c r="AL225" s="303"/>
      <c r="AM225" s="216"/>
      <c r="AN225" s="304"/>
      <c r="AO225" s="277"/>
      <c r="AP225" s="303"/>
      <c r="AQ225" s="303"/>
      <c r="AR225" s="304"/>
      <c r="AS225" s="303"/>
      <c r="AT225" s="303"/>
      <c r="AU225" s="303"/>
      <c r="AV225" s="303"/>
      <c r="AW225" s="213"/>
      <c r="AX225" s="213"/>
      <c r="AY225" s="213"/>
      <c r="AZ225" s="213"/>
      <c r="BA225" s="213"/>
      <c r="BB225" s="213"/>
      <c r="BC225" s="213"/>
      <c r="BD225" s="213"/>
      <c r="BE225" s="213"/>
      <c r="BF225" s="213"/>
      <c r="BG225" s="213"/>
      <c r="BH225" s="213"/>
      <c r="BI225" s="213"/>
      <c r="BJ225" s="213"/>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row>
    <row r="226" spans="1:243" ht="15.6">
      <c r="A226" s="170">
        <f>A225+1</f>
        <v>138</v>
      </c>
      <c r="B226" s="327">
        <f>B218</f>
        <v>345</v>
      </c>
      <c r="C226" s="908"/>
      <c r="D226" s="603">
        <f t="shared" si="49"/>
        <v>0</v>
      </c>
      <c r="E226" s="603">
        <f t="shared" si="49"/>
        <v>0</v>
      </c>
      <c r="F226" s="603">
        <f t="shared" si="49"/>
        <v>0</v>
      </c>
      <c r="G226" s="603">
        <f t="shared" si="49"/>
        <v>0</v>
      </c>
      <c r="H226" s="603">
        <f t="shared" si="49"/>
        <v>0</v>
      </c>
      <c r="I226" s="603">
        <f t="shared" si="49"/>
        <v>0</v>
      </c>
      <c r="J226" s="603">
        <f t="shared" si="49"/>
        <v>0</v>
      </c>
      <c r="K226" s="603">
        <f t="shared" si="49"/>
        <v>0</v>
      </c>
      <c r="L226" s="603">
        <f t="shared" si="49"/>
        <v>0</v>
      </c>
      <c r="M226" s="603">
        <f t="shared" si="49"/>
        <v>0</v>
      </c>
      <c r="N226" s="603">
        <f t="shared" si="49"/>
        <v>0</v>
      </c>
      <c r="O226" s="603">
        <f t="shared" si="49"/>
        <v>0</v>
      </c>
      <c r="P226" s="333">
        <f>SUM(D226:O226)</f>
        <v>0</v>
      </c>
      <c r="S226" s="277"/>
      <c r="T226" s="277"/>
      <c r="U226" s="277"/>
      <c r="V226" s="277"/>
      <c r="W226" s="277"/>
      <c r="X226" s="277"/>
      <c r="Y226" s="277"/>
      <c r="Z226" s="277"/>
      <c r="AA226" s="277"/>
      <c r="AB226" s="277"/>
      <c r="AC226" s="277"/>
      <c r="AD226" s="277"/>
      <c r="AE226" s="277"/>
      <c r="AF226" s="277"/>
      <c r="AG226" s="277"/>
      <c r="AH226" s="277"/>
      <c r="AI226" s="277"/>
      <c r="AJ226" s="216"/>
      <c r="AK226" s="304"/>
      <c r="AL226" s="303"/>
      <c r="AM226" s="216"/>
      <c r="AN226" s="304"/>
      <c r="AO226" s="277"/>
      <c r="AP226" s="303"/>
      <c r="AQ226" s="303"/>
      <c r="AR226" s="304"/>
      <c r="AS226" s="303"/>
      <c r="AT226" s="303"/>
      <c r="AU226" s="303"/>
      <c r="AV226" s="303"/>
      <c r="AW226" s="213"/>
      <c r="AX226" s="213"/>
      <c r="AY226" s="213"/>
      <c r="AZ226" s="213"/>
      <c r="BA226" s="213"/>
      <c r="BB226" s="213"/>
      <c r="BC226" s="213"/>
      <c r="BD226" s="213"/>
      <c r="BE226" s="213"/>
      <c r="BF226" s="213"/>
      <c r="BG226" s="213"/>
      <c r="BH226" s="213"/>
      <c r="BI226" s="213"/>
      <c r="BJ226" s="213"/>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row>
    <row r="227" spans="1:243" ht="15.6">
      <c r="A227" s="170">
        <f>A226+1</f>
        <v>139</v>
      </c>
      <c r="B227" s="327">
        <f>B219</f>
        <v>346</v>
      </c>
      <c r="C227" s="908"/>
      <c r="D227" s="603">
        <f t="shared" si="49"/>
        <v>0</v>
      </c>
      <c r="E227" s="603">
        <f t="shared" si="49"/>
        <v>0</v>
      </c>
      <c r="F227" s="603">
        <f t="shared" si="49"/>
        <v>0</v>
      </c>
      <c r="G227" s="603">
        <f t="shared" si="49"/>
        <v>0</v>
      </c>
      <c r="H227" s="603">
        <f t="shared" si="49"/>
        <v>0</v>
      </c>
      <c r="I227" s="603">
        <f t="shared" si="49"/>
        <v>0</v>
      </c>
      <c r="J227" s="603">
        <f t="shared" si="49"/>
        <v>0</v>
      </c>
      <c r="K227" s="603">
        <f t="shared" si="49"/>
        <v>0</v>
      </c>
      <c r="L227" s="603">
        <f t="shared" si="49"/>
        <v>0</v>
      </c>
      <c r="M227" s="603">
        <f t="shared" si="49"/>
        <v>0</v>
      </c>
      <c r="N227" s="603">
        <f t="shared" si="49"/>
        <v>0</v>
      </c>
      <c r="O227" s="603">
        <f t="shared" si="49"/>
        <v>0</v>
      </c>
      <c r="P227" s="333">
        <f>SUM(D227:O227)</f>
        <v>0</v>
      </c>
      <c r="S227" s="277"/>
      <c r="T227" s="277"/>
      <c r="U227" s="277"/>
      <c r="V227" s="277"/>
      <c r="W227" s="277"/>
      <c r="X227" s="277"/>
      <c r="Y227" s="277"/>
      <c r="Z227" s="277"/>
      <c r="AA227" s="277"/>
      <c r="AB227" s="277"/>
      <c r="AC227" s="277"/>
      <c r="AD227" s="277"/>
      <c r="AE227" s="277"/>
      <c r="AF227" s="277"/>
      <c r="AG227" s="277"/>
      <c r="AH227" s="277"/>
      <c r="AI227" s="277"/>
      <c r="AJ227" s="216"/>
      <c r="AK227" s="304"/>
      <c r="AL227" s="303"/>
      <c r="AM227" s="216"/>
      <c r="AN227" s="304"/>
      <c r="AO227" s="277"/>
      <c r="AP227" s="303"/>
      <c r="AQ227" s="303"/>
      <c r="AR227" s="304"/>
      <c r="AS227" s="303"/>
      <c r="AT227" s="303"/>
      <c r="AU227" s="303"/>
      <c r="AV227" s="303"/>
      <c r="AW227" s="213"/>
      <c r="AX227" s="213"/>
      <c r="AY227" s="213"/>
      <c r="AZ227" s="213"/>
      <c r="BA227" s="213"/>
      <c r="BB227" s="213"/>
      <c r="BC227" s="213"/>
      <c r="BD227" s="213"/>
      <c r="BE227" s="213"/>
      <c r="BF227" s="213"/>
      <c r="BG227" s="213"/>
      <c r="BH227" s="213"/>
      <c r="BI227" s="213"/>
      <c r="BJ227" s="213"/>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row>
    <row r="228" spans="1:243" ht="15.6">
      <c r="A228" s="355"/>
      <c r="B228" s="287"/>
      <c r="C228" s="287"/>
      <c r="D228" s="287"/>
      <c r="E228" s="287"/>
      <c r="F228" s="287"/>
      <c r="G228" s="287"/>
      <c r="H228" s="287"/>
      <c r="I228" s="287"/>
      <c r="J228" s="287"/>
      <c r="K228" s="334"/>
      <c r="L228" s="287"/>
      <c r="M228" s="287"/>
      <c r="N228" s="287"/>
      <c r="O228" s="287"/>
      <c r="P228" s="339"/>
      <c r="S228" s="277"/>
      <c r="T228" s="277"/>
      <c r="U228" s="277"/>
      <c r="V228" s="277"/>
      <c r="W228" s="277"/>
      <c r="X228" s="277"/>
      <c r="Y228" s="277"/>
      <c r="Z228" s="277"/>
      <c r="AA228" s="277"/>
      <c r="AB228" s="277"/>
      <c r="AC228" s="277"/>
      <c r="AD228" s="277"/>
      <c r="AE228" s="277"/>
      <c r="AF228" s="277"/>
      <c r="AG228" s="277"/>
      <c r="AH228" s="277"/>
      <c r="AI228" s="277"/>
      <c r="AJ228" s="216"/>
      <c r="AK228" s="304"/>
      <c r="AL228" s="303"/>
      <c r="AM228" s="216"/>
      <c r="AN228" s="304"/>
      <c r="AO228" s="277"/>
      <c r="AP228" s="303"/>
      <c r="AQ228" s="303"/>
      <c r="AR228" s="304"/>
      <c r="AS228" s="303"/>
      <c r="AT228" s="303"/>
      <c r="AU228" s="303"/>
      <c r="AV228" s="303"/>
      <c r="AW228" s="213"/>
      <c r="AX228" s="213"/>
      <c r="AY228" s="213"/>
      <c r="AZ228" s="213"/>
      <c r="BA228" s="213"/>
      <c r="BB228" s="213"/>
      <c r="BC228" s="213"/>
      <c r="BD228" s="213"/>
      <c r="BE228" s="213"/>
      <c r="BF228" s="213"/>
      <c r="BG228" s="213"/>
      <c r="BH228" s="213"/>
      <c r="BI228" s="213"/>
      <c r="BJ228" s="213"/>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row>
    <row r="229" spans="1:243" ht="18.600000000000001">
      <c r="A229" s="355"/>
      <c r="B229" s="355" t="s">
        <v>1078</v>
      </c>
      <c r="C229" s="334" t="s">
        <v>730</v>
      </c>
      <c r="D229" s="1778" t="s">
        <v>731</v>
      </c>
      <c r="E229" s="1779"/>
      <c r="F229" s="1779"/>
      <c r="G229" s="1779"/>
      <c r="H229" s="1779"/>
      <c r="I229" s="1779"/>
      <c r="J229" s="1779"/>
      <c r="K229" s="1779"/>
      <c r="L229" s="1779"/>
      <c r="M229" s="1779"/>
      <c r="N229" s="1779"/>
      <c r="O229" s="1779"/>
      <c r="P229" s="1779"/>
      <c r="S229" s="277"/>
      <c r="T229" s="277"/>
      <c r="U229" s="277"/>
      <c r="V229" s="277"/>
      <c r="W229" s="277"/>
      <c r="X229" s="277"/>
      <c r="Y229" s="277"/>
      <c r="Z229" s="277"/>
      <c r="AA229" s="277"/>
      <c r="AB229" s="277"/>
      <c r="AC229" s="277"/>
      <c r="AD229" s="277"/>
      <c r="AE229" s="277"/>
      <c r="AF229" s="277"/>
      <c r="AG229" s="277"/>
      <c r="AH229" s="277"/>
      <c r="AI229" s="277"/>
      <c r="AJ229" s="216"/>
      <c r="AK229" s="304"/>
      <c r="AL229" s="303"/>
      <c r="AM229" s="216"/>
      <c r="AN229" s="304"/>
      <c r="AO229" s="277"/>
      <c r="AP229" s="303"/>
      <c r="AQ229" s="303"/>
      <c r="AR229" s="304"/>
      <c r="AS229" s="303"/>
      <c r="AT229" s="303"/>
      <c r="AU229" s="303"/>
      <c r="AV229" s="303"/>
      <c r="AW229" s="213"/>
      <c r="AX229" s="213"/>
      <c r="AY229" s="213"/>
      <c r="AZ229" s="213"/>
      <c r="BA229" s="213"/>
      <c r="BB229" s="213"/>
      <c r="BC229" s="213"/>
      <c r="BD229" s="213"/>
      <c r="BE229" s="213"/>
      <c r="BF229" s="213"/>
      <c r="BG229" s="213"/>
      <c r="BH229" s="213"/>
      <c r="BI229" s="213"/>
      <c r="BJ229" s="213"/>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row>
    <row r="230" spans="1:243" ht="18.600000000000001">
      <c r="A230" s="355"/>
      <c r="B230" s="322" t="s">
        <v>928</v>
      </c>
      <c r="C230" s="335" t="s">
        <v>732</v>
      </c>
      <c r="D230" s="358" t="s">
        <v>716</v>
      </c>
      <c r="E230" s="358" t="s">
        <v>717</v>
      </c>
      <c r="F230" s="358" t="s">
        <v>718</v>
      </c>
      <c r="G230" s="358" t="s">
        <v>719</v>
      </c>
      <c r="H230" s="358" t="s">
        <v>720</v>
      </c>
      <c r="I230" s="358" t="s">
        <v>721</v>
      </c>
      <c r="J230" s="358" t="s">
        <v>722</v>
      </c>
      <c r="K230" s="358" t="s">
        <v>723</v>
      </c>
      <c r="L230" s="358" t="s">
        <v>724</v>
      </c>
      <c r="M230" s="358" t="s">
        <v>725</v>
      </c>
      <c r="N230" s="358" t="s">
        <v>726</v>
      </c>
      <c r="O230" s="358" t="s">
        <v>715</v>
      </c>
      <c r="P230" s="360" t="s">
        <v>628</v>
      </c>
      <c r="S230" s="277"/>
      <c r="T230" s="277"/>
      <c r="U230" s="277"/>
      <c r="V230" s="277"/>
      <c r="W230" s="277"/>
      <c r="X230" s="277"/>
      <c r="Y230" s="277"/>
      <c r="Z230" s="277"/>
      <c r="AA230" s="277"/>
      <c r="AB230" s="277"/>
      <c r="AC230" s="277"/>
      <c r="AD230" s="277"/>
      <c r="AE230" s="277"/>
      <c r="AF230" s="277"/>
      <c r="AG230" s="277"/>
      <c r="AH230" s="277"/>
      <c r="AI230" s="277"/>
      <c r="AJ230" s="216"/>
      <c r="AK230" s="304"/>
      <c r="AL230" s="303"/>
      <c r="AM230" s="216"/>
      <c r="AN230" s="304"/>
      <c r="AO230" s="277"/>
      <c r="AP230" s="303"/>
      <c r="AQ230" s="303"/>
      <c r="AR230" s="304"/>
      <c r="AS230" s="303"/>
      <c r="AT230" s="303"/>
      <c r="AU230" s="303"/>
      <c r="AV230" s="303"/>
      <c r="AW230" s="213"/>
      <c r="AX230" s="213"/>
      <c r="AY230" s="213"/>
      <c r="AZ230" s="213"/>
      <c r="BA230" s="213"/>
      <c r="BB230" s="213"/>
      <c r="BC230" s="213"/>
      <c r="BD230" s="213"/>
      <c r="BE230" s="213"/>
      <c r="BF230" s="213"/>
      <c r="BG230" s="213"/>
      <c r="BH230" s="213"/>
      <c r="BI230" s="213"/>
      <c r="BJ230" s="213"/>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row>
    <row r="231" spans="1:243" ht="15.6">
      <c r="A231" s="170">
        <f>A227+1</f>
        <v>140</v>
      </c>
      <c r="B231" s="327">
        <f>B215</f>
        <v>341</v>
      </c>
      <c r="C231" s="907">
        <v>0</v>
      </c>
      <c r="D231" s="603">
        <f>C231+D223</f>
        <v>0</v>
      </c>
      <c r="E231" s="603">
        <f t="shared" ref="E231:O231" si="50">D231+E223</f>
        <v>0</v>
      </c>
      <c r="F231" s="603">
        <f t="shared" si="50"/>
        <v>0</v>
      </c>
      <c r="G231" s="603">
        <f t="shared" si="50"/>
        <v>0</v>
      </c>
      <c r="H231" s="603">
        <f t="shared" si="50"/>
        <v>0</v>
      </c>
      <c r="I231" s="603">
        <f t="shared" si="50"/>
        <v>0</v>
      </c>
      <c r="J231" s="603">
        <f t="shared" si="50"/>
        <v>0</v>
      </c>
      <c r="K231" s="603">
        <f t="shared" si="50"/>
        <v>0</v>
      </c>
      <c r="L231" s="603">
        <f t="shared" si="50"/>
        <v>0</v>
      </c>
      <c r="M231" s="603">
        <f t="shared" si="50"/>
        <v>0</v>
      </c>
      <c r="N231" s="603">
        <f t="shared" si="50"/>
        <v>0</v>
      </c>
      <c r="O231" s="603">
        <f t="shared" si="50"/>
        <v>0</v>
      </c>
      <c r="P231" s="333">
        <f>O231</f>
        <v>0</v>
      </c>
      <c r="S231" s="277"/>
      <c r="T231" s="277"/>
      <c r="U231" s="277"/>
      <c r="V231" s="277"/>
      <c r="W231" s="277"/>
      <c r="X231" s="277"/>
      <c r="Y231" s="277"/>
      <c r="Z231" s="277"/>
      <c r="AA231" s="277"/>
      <c r="AB231" s="277"/>
      <c r="AC231" s="277"/>
      <c r="AD231" s="277"/>
      <c r="AE231" s="277"/>
      <c r="AF231" s="277"/>
      <c r="AG231" s="277"/>
      <c r="AH231" s="277"/>
      <c r="AI231" s="277"/>
      <c r="AJ231" s="216"/>
      <c r="AK231" s="304"/>
      <c r="AL231" s="303"/>
      <c r="AM231" s="216"/>
      <c r="AN231" s="304"/>
      <c r="AO231" s="277"/>
      <c r="AP231" s="303"/>
      <c r="AQ231" s="303"/>
      <c r="AR231" s="304"/>
      <c r="AS231" s="303"/>
      <c r="AT231" s="303"/>
      <c r="AU231" s="303"/>
      <c r="AV231" s="303"/>
      <c r="AW231" s="213"/>
      <c r="AX231" s="213"/>
      <c r="AY231" s="213"/>
      <c r="AZ231" s="213"/>
      <c r="BA231" s="213"/>
      <c r="BB231" s="213"/>
      <c r="BC231" s="213"/>
      <c r="BD231" s="213"/>
      <c r="BE231" s="213"/>
      <c r="BF231" s="213"/>
      <c r="BG231" s="213"/>
      <c r="BH231" s="213"/>
      <c r="BI231" s="213"/>
      <c r="BJ231" s="213"/>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row>
    <row r="232" spans="1:243" ht="15.6">
      <c r="A232" s="170">
        <f>A231+1</f>
        <v>141</v>
      </c>
      <c r="B232" s="327">
        <f>B216</f>
        <v>342</v>
      </c>
      <c r="C232" s="907">
        <v>0</v>
      </c>
      <c r="D232" s="603">
        <f t="shared" ref="D232:O235" si="51">C232+D224</f>
        <v>0</v>
      </c>
      <c r="E232" s="603">
        <f t="shared" si="51"/>
        <v>0</v>
      </c>
      <c r="F232" s="603">
        <f t="shared" si="51"/>
        <v>0</v>
      </c>
      <c r="G232" s="603">
        <f t="shared" si="51"/>
        <v>0</v>
      </c>
      <c r="H232" s="603">
        <f t="shared" si="51"/>
        <v>0</v>
      </c>
      <c r="I232" s="603">
        <f t="shared" si="51"/>
        <v>0</v>
      </c>
      <c r="J232" s="603">
        <f t="shared" si="51"/>
        <v>0</v>
      </c>
      <c r="K232" s="603">
        <f t="shared" si="51"/>
        <v>0</v>
      </c>
      <c r="L232" s="603">
        <f t="shared" si="51"/>
        <v>0</v>
      </c>
      <c r="M232" s="603">
        <f t="shared" si="51"/>
        <v>0</v>
      </c>
      <c r="N232" s="603">
        <f t="shared" si="51"/>
        <v>0</v>
      </c>
      <c r="O232" s="603">
        <f t="shared" si="51"/>
        <v>0</v>
      </c>
      <c r="P232" s="333">
        <f>O232</f>
        <v>0</v>
      </c>
      <c r="S232" s="277"/>
      <c r="T232" s="277"/>
      <c r="U232" s="277"/>
      <c r="V232" s="277"/>
      <c r="W232" s="277"/>
      <c r="X232" s="277"/>
      <c r="Y232" s="277"/>
      <c r="Z232" s="277"/>
      <c r="AA232" s="277"/>
      <c r="AB232" s="277"/>
      <c r="AC232" s="277"/>
      <c r="AD232" s="277"/>
      <c r="AE232" s="277"/>
      <c r="AF232" s="277"/>
      <c r="AG232" s="277"/>
      <c r="AH232" s="277"/>
      <c r="AI232" s="277"/>
      <c r="AJ232" s="216"/>
      <c r="AK232" s="304"/>
      <c r="AL232" s="303"/>
      <c r="AM232" s="216"/>
      <c r="AN232" s="304"/>
      <c r="AO232" s="277"/>
      <c r="AP232" s="303"/>
      <c r="AQ232" s="303"/>
      <c r="AR232" s="304"/>
      <c r="AS232" s="303"/>
      <c r="AT232" s="303"/>
      <c r="AU232" s="303"/>
      <c r="AV232" s="303"/>
      <c r="AW232" s="213"/>
      <c r="AX232" s="213"/>
      <c r="AY232" s="213"/>
      <c r="AZ232" s="213"/>
      <c r="BA232" s="213"/>
      <c r="BB232" s="213"/>
      <c r="BC232" s="213"/>
      <c r="BD232" s="213"/>
      <c r="BE232" s="213"/>
      <c r="BF232" s="213"/>
      <c r="BG232" s="213"/>
      <c r="BH232" s="213"/>
      <c r="BI232" s="213"/>
      <c r="BJ232" s="213"/>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row>
    <row r="233" spans="1:243" ht="15.6">
      <c r="A233" s="170">
        <f>A232+1</f>
        <v>142</v>
      </c>
      <c r="B233" s="327">
        <f>B217</f>
        <v>344</v>
      </c>
      <c r="C233" s="907">
        <v>0</v>
      </c>
      <c r="D233" s="603">
        <f t="shared" si="51"/>
        <v>0</v>
      </c>
      <c r="E233" s="603">
        <f t="shared" si="51"/>
        <v>0</v>
      </c>
      <c r="F233" s="603">
        <f t="shared" si="51"/>
        <v>0</v>
      </c>
      <c r="G233" s="603">
        <f t="shared" si="51"/>
        <v>0</v>
      </c>
      <c r="H233" s="603">
        <f t="shared" si="51"/>
        <v>0</v>
      </c>
      <c r="I233" s="603">
        <f t="shared" si="51"/>
        <v>0</v>
      </c>
      <c r="J233" s="603">
        <f t="shared" si="51"/>
        <v>0</v>
      </c>
      <c r="K233" s="603">
        <f t="shared" si="51"/>
        <v>0</v>
      </c>
      <c r="L233" s="603">
        <f t="shared" si="51"/>
        <v>0</v>
      </c>
      <c r="M233" s="603">
        <f t="shared" si="51"/>
        <v>0</v>
      </c>
      <c r="N233" s="603">
        <f t="shared" si="51"/>
        <v>0</v>
      </c>
      <c r="O233" s="603">
        <f t="shared" si="51"/>
        <v>0</v>
      </c>
      <c r="P233" s="333">
        <f>O233</f>
        <v>0</v>
      </c>
      <c r="S233" s="277"/>
      <c r="T233" s="277"/>
      <c r="U233" s="277"/>
      <c r="V233" s="277"/>
      <c r="W233" s="277"/>
      <c r="X233" s="277"/>
      <c r="Y233" s="277"/>
      <c r="Z233" s="277"/>
      <c r="AA233" s="277"/>
      <c r="AB233" s="277"/>
      <c r="AC233" s="277"/>
      <c r="AD233" s="277"/>
      <c r="AE233" s="277"/>
      <c r="AF233" s="277"/>
      <c r="AG233" s="277"/>
      <c r="AH233" s="277"/>
      <c r="AI233" s="277"/>
      <c r="AJ233" s="216"/>
      <c r="AK233" s="304"/>
      <c r="AL233" s="303"/>
      <c r="AM233" s="216"/>
      <c r="AN233" s="304"/>
      <c r="AO233" s="277"/>
      <c r="AP233" s="303"/>
      <c r="AQ233" s="303"/>
      <c r="AR233" s="304"/>
      <c r="AS233" s="303"/>
      <c r="AT233" s="303"/>
      <c r="AU233" s="303"/>
      <c r="AV233" s="303"/>
      <c r="AW233" s="213"/>
      <c r="AX233" s="213"/>
      <c r="AY233" s="213"/>
      <c r="AZ233" s="213"/>
      <c r="BA233" s="213"/>
      <c r="BB233" s="213"/>
      <c r="BC233" s="213"/>
      <c r="BD233" s="213"/>
      <c r="BE233" s="213"/>
      <c r="BF233" s="213"/>
      <c r="BG233" s="213"/>
      <c r="BH233" s="213"/>
      <c r="BI233" s="213"/>
      <c r="BJ233" s="21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row>
    <row r="234" spans="1:243" ht="15.6">
      <c r="A234" s="170">
        <f>A233+1</f>
        <v>143</v>
      </c>
      <c r="B234" s="327">
        <f>B218</f>
        <v>345</v>
      </c>
      <c r="C234" s="907">
        <v>0</v>
      </c>
      <c r="D234" s="603">
        <f t="shared" si="51"/>
        <v>0</v>
      </c>
      <c r="E234" s="603">
        <f t="shared" si="51"/>
        <v>0</v>
      </c>
      <c r="F234" s="603">
        <f t="shared" si="51"/>
        <v>0</v>
      </c>
      <c r="G234" s="603">
        <f t="shared" si="51"/>
        <v>0</v>
      </c>
      <c r="H234" s="603">
        <f t="shared" si="51"/>
        <v>0</v>
      </c>
      <c r="I234" s="603">
        <f t="shared" si="51"/>
        <v>0</v>
      </c>
      <c r="J234" s="603">
        <f t="shared" si="51"/>
        <v>0</v>
      </c>
      <c r="K234" s="603">
        <f t="shared" si="51"/>
        <v>0</v>
      </c>
      <c r="L234" s="603">
        <f t="shared" si="51"/>
        <v>0</v>
      </c>
      <c r="M234" s="603">
        <f t="shared" si="51"/>
        <v>0</v>
      </c>
      <c r="N234" s="603">
        <f t="shared" si="51"/>
        <v>0</v>
      </c>
      <c r="O234" s="603">
        <f t="shared" si="51"/>
        <v>0</v>
      </c>
      <c r="P234" s="333">
        <f>O234</f>
        <v>0</v>
      </c>
      <c r="S234" s="277"/>
      <c r="T234" s="277"/>
      <c r="U234" s="277"/>
      <c r="V234" s="277"/>
      <c r="W234" s="277"/>
      <c r="X234" s="277"/>
      <c r="Y234" s="277"/>
      <c r="Z234" s="277"/>
      <c r="AA234" s="277"/>
      <c r="AB234" s="277"/>
      <c r="AC234" s="277"/>
      <c r="AD234" s="277"/>
      <c r="AE234" s="277"/>
      <c r="AF234" s="277"/>
      <c r="AG234" s="277"/>
      <c r="AH234" s="277"/>
      <c r="AI234" s="277"/>
      <c r="AJ234" s="216"/>
      <c r="AK234" s="304"/>
      <c r="AL234" s="303"/>
      <c r="AM234" s="216"/>
      <c r="AN234" s="304"/>
      <c r="AO234" s="277"/>
      <c r="AP234" s="303"/>
      <c r="AQ234" s="303"/>
      <c r="AR234" s="304"/>
      <c r="AS234" s="303"/>
      <c r="AT234" s="303"/>
      <c r="AU234" s="303"/>
      <c r="AV234" s="303"/>
      <c r="AW234" s="213"/>
      <c r="AX234" s="213"/>
      <c r="AY234" s="213"/>
      <c r="AZ234" s="213"/>
      <c r="BA234" s="213"/>
      <c r="BB234" s="213"/>
      <c r="BC234" s="213"/>
      <c r="BD234" s="213"/>
      <c r="BE234" s="213"/>
      <c r="BF234" s="213"/>
      <c r="BG234" s="213"/>
      <c r="BH234" s="213"/>
      <c r="BI234" s="213"/>
      <c r="BJ234" s="213"/>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row>
    <row r="235" spans="1:243" ht="15.6">
      <c r="A235" s="170">
        <f>A234+1</f>
        <v>144</v>
      </c>
      <c r="B235" s="327">
        <f>B219</f>
        <v>346</v>
      </c>
      <c r="C235" s="907">
        <v>0</v>
      </c>
      <c r="D235" s="603">
        <f t="shared" si="51"/>
        <v>0</v>
      </c>
      <c r="E235" s="603">
        <f t="shared" si="51"/>
        <v>0</v>
      </c>
      <c r="F235" s="603">
        <f t="shared" si="51"/>
        <v>0</v>
      </c>
      <c r="G235" s="603">
        <f t="shared" si="51"/>
        <v>0</v>
      </c>
      <c r="H235" s="603">
        <f t="shared" si="51"/>
        <v>0</v>
      </c>
      <c r="I235" s="603">
        <f t="shared" si="51"/>
        <v>0</v>
      </c>
      <c r="J235" s="603">
        <f t="shared" si="51"/>
        <v>0</v>
      </c>
      <c r="K235" s="603">
        <f t="shared" si="51"/>
        <v>0</v>
      </c>
      <c r="L235" s="603">
        <f t="shared" si="51"/>
        <v>0</v>
      </c>
      <c r="M235" s="603">
        <f t="shared" si="51"/>
        <v>0</v>
      </c>
      <c r="N235" s="603">
        <f t="shared" si="51"/>
        <v>0</v>
      </c>
      <c r="O235" s="603">
        <f t="shared" si="51"/>
        <v>0</v>
      </c>
      <c r="P235" s="333">
        <f>O235</f>
        <v>0</v>
      </c>
      <c r="S235" s="277"/>
      <c r="T235" s="277"/>
      <c r="U235" s="277"/>
      <c r="V235" s="277"/>
      <c r="W235" s="277"/>
      <c r="X235" s="277"/>
      <c r="Y235" s="277"/>
      <c r="Z235" s="277"/>
      <c r="AA235" s="277"/>
      <c r="AB235" s="277"/>
      <c r="AC235" s="277"/>
      <c r="AD235" s="277"/>
      <c r="AE235" s="277"/>
      <c r="AF235" s="277"/>
      <c r="AG235" s="277"/>
      <c r="AH235" s="277"/>
      <c r="AI235" s="277"/>
      <c r="AJ235" s="216"/>
      <c r="AK235" s="304"/>
      <c r="AL235" s="303"/>
      <c r="AM235" s="216"/>
      <c r="AN235" s="304"/>
      <c r="AO235" s="277"/>
      <c r="AP235" s="303"/>
      <c r="AQ235" s="303"/>
      <c r="AR235" s="304"/>
      <c r="AS235" s="303"/>
      <c r="AT235" s="303"/>
      <c r="AU235" s="303"/>
      <c r="AV235" s="303"/>
      <c r="AW235" s="213"/>
      <c r="AX235" s="213"/>
      <c r="AY235" s="213"/>
      <c r="AZ235" s="213"/>
      <c r="BA235" s="213"/>
      <c r="BB235" s="213"/>
      <c r="BC235" s="213"/>
      <c r="BD235" s="213"/>
      <c r="BE235" s="213"/>
      <c r="BF235" s="213"/>
      <c r="BG235" s="213"/>
      <c r="BH235" s="213"/>
      <c r="BI235" s="213"/>
      <c r="BJ235" s="213"/>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row>
    <row r="236" spans="1:243" ht="15.6">
      <c r="A236" s="355"/>
      <c r="B236" s="336"/>
      <c r="C236" s="287"/>
      <c r="D236" s="287"/>
      <c r="E236" s="287"/>
      <c r="F236" s="287"/>
      <c r="G236" s="287"/>
      <c r="H236" s="287"/>
      <c r="I236" s="287"/>
      <c r="J236" s="287"/>
      <c r="K236" s="334"/>
      <c r="L236" s="287"/>
      <c r="M236" s="287"/>
      <c r="N236" s="287"/>
      <c r="O236" s="287"/>
      <c r="P236" s="339"/>
      <c r="S236" s="277"/>
      <c r="T236" s="277"/>
      <c r="U236" s="277"/>
      <c r="V236" s="277"/>
      <c r="W236" s="277"/>
      <c r="X236" s="277"/>
      <c r="Y236" s="277"/>
      <c r="Z236" s="277"/>
      <c r="AA236" s="277"/>
      <c r="AB236" s="277"/>
      <c r="AC236" s="277"/>
      <c r="AD236" s="277"/>
      <c r="AE236" s="277"/>
      <c r="AF236" s="277"/>
      <c r="AG236" s="277"/>
      <c r="AH236" s="277"/>
      <c r="AI236" s="277"/>
      <c r="AJ236" s="216"/>
      <c r="AK236" s="304"/>
      <c r="AL236" s="303"/>
      <c r="AM236" s="216"/>
      <c r="AN236" s="304"/>
      <c r="AO236" s="277"/>
      <c r="AP236" s="303"/>
      <c r="AQ236" s="303"/>
      <c r="AR236" s="304"/>
      <c r="AS236" s="303"/>
      <c r="AT236" s="303"/>
      <c r="AU236" s="303"/>
      <c r="AV236" s="303"/>
      <c r="AW236" s="213"/>
      <c r="AX236" s="213"/>
      <c r="AY236" s="213"/>
      <c r="AZ236" s="213"/>
      <c r="BA236" s="213"/>
      <c r="BB236" s="213"/>
      <c r="BC236" s="213"/>
      <c r="BD236" s="213"/>
      <c r="BE236" s="213"/>
      <c r="BF236" s="213"/>
      <c r="BG236" s="213"/>
      <c r="BH236" s="213"/>
      <c r="BI236" s="213"/>
      <c r="BJ236" s="213"/>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row>
    <row r="237" spans="1:243" ht="15.6">
      <c r="A237" s="336" t="s">
        <v>713</v>
      </c>
      <c r="B237" s="342"/>
      <c r="C237" s="341" t="s">
        <v>476</v>
      </c>
      <c r="D237" s="287"/>
      <c r="E237" s="287"/>
      <c r="F237" s="287"/>
      <c r="G237" s="287"/>
      <c r="H237" s="287"/>
      <c r="I237" s="287"/>
      <c r="J237" s="287"/>
      <c r="K237" s="334"/>
      <c r="L237" s="287"/>
      <c r="M237" s="287"/>
      <c r="N237" s="287"/>
      <c r="O237" s="287"/>
      <c r="P237" s="339"/>
      <c r="S237" s="277"/>
      <c r="T237" s="277"/>
      <c r="U237" s="277"/>
      <c r="V237" s="277"/>
      <c r="W237" s="277"/>
      <c r="X237" s="277"/>
      <c r="Y237" s="277"/>
      <c r="Z237" s="277"/>
      <c r="AA237" s="277"/>
      <c r="AB237" s="277"/>
      <c r="AC237" s="277"/>
      <c r="AD237" s="277"/>
      <c r="AE237" s="277"/>
      <c r="AF237" s="277"/>
      <c r="AG237" s="277"/>
      <c r="AH237" s="277"/>
      <c r="AI237" s="277"/>
      <c r="AJ237" s="216"/>
      <c r="AK237" s="304"/>
      <c r="AL237" s="303"/>
      <c r="AM237" s="216"/>
      <c r="AN237" s="304"/>
      <c r="AO237" s="277"/>
      <c r="AP237" s="303"/>
      <c r="AQ237" s="303"/>
      <c r="AR237" s="304"/>
      <c r="AS237" s="303"/>
      <c r="AT237" s="303"/>
      <c r="AU237" s="303"/>
      <c r="AV237" s="303"/>
      <c r="AW237" s="213"/>
      <c r="AX237" s="213"/>
      <c r="AY237" s="213"/>
      <c r="AZ237" s="213"/>
      <c r="BA237" s="213"/>
      <c r="BB237" s="213"/>
      <c r="BC237" s="213"/>
      <c r="BD237" s="213"/>
      <c r="BE237" s="213"/>
      <c r="BF237" s="213"/>
      <c r="BG237" s="213"/>
      <c r="BH237" s="213"/>
      <c r="BI237" s="213"/>
      <c r="BJ237" s="213"/>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row>
    <row r="238" spans="1:243" ht="15.6">
      <c r="A238" s="355"/>
      <c r="B238" s="356"/>
      <c r="C238" s="287"/>
      <c r="D238" s="287"/>
      <c r="E238" s="287"/>
      <c r="F238" s="287"/>
      <c r="G238" s="287"/>
      <c r="H238" s="287"/>
      <c r="I238" s="287"/>
      <c r="J238" s="287"/>
      <c r="K238" s="334"/>
      <c r="L238" s="287"/>
      <c r="M238" s="287"/>
      <c r="N238" s="287"/>
      <c r="O238" s="287"/>
      <c r="P238" s="339"/>
      <c r="S238" s="277"/>
      <c r="T238" s="277"/>
      <c r="U238" s="277"/>
      <c r="V238" s="277"/>
      <c r="W238" s="277"/>
      <c r="X238" s="277"/>
      <c r="Y238" s="277"/>
      <c r="Z238" s="277"/>
      <c r="AA238" s="277"/>
      <c r="AB238" s="277"/>
      <c r="AC238" s="277"/>
      <c r="AD238" s="277"/>
      <c r="AE238" s="277"/>
      <c r="AF238" s="277"/>
      <c r="AG238" s="277"/>
      <c r="AH238" s="277"/>
      <c r="AI238" s="277"/>
      <c r="AJ238" s="216"/>
      <c r="AK238" s="304"/>
      <c r="AL238" s="303"/>
      <c r="AM238" s="216"/>
      <c r="AN238" s="304"/>
      <c r="AO238" s="277"/>
      <c r="AP238" s="303"/>
      <c r="AQ238" s="303"/>
      <c r="AR238" s="304"/>
      <c r="AS238" s="303"/>
      <c r="AT238" s="303"/>
      <c r="AU238" s="303"/>
      <c r="AV238" s="303"/>
      <c r="AW238" s="213"/>
      <c r="AX238" s="213"/>
      <c r="AY238" s="213"/>
      <c r="AZ238" s="213"/>
      <c r="BA238" s="213"/>
      <c r="BB238" s="213"/>
      <c r="BC238" s="213"/>
      <c r="BD238" s="213"/>
      <c r="BE238" s="213"/>
      <c r="BF238" s="213"/>
      <c r="BG238" s="213"/>
      <c r="BH238" s="213"/>
      <c r="BI238" s="213"/>
      <c r="BJ238" s="213"/>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row>
    <row r="239" spans="1:243" ht="18.600000000000001">
      <c r="A239" s="355" t="s">
        <v>494</v>
      </c>
      <c r="B239" s="355" t="s">
        <v>1078</v>
      </c>
      <c r="C239" s="334"/>
      <c r="D239" s="1778" t="s">
        <v>714</v>
      </c>
      <c r="E239" s="1779"/>
      <c r="F239" s="1779"/>
      <c r="G239" s="1779"/>
      <c r="H239" s="1779"/>
      <c r="I239" s="1779"/>
      <c r="J239" s="1779"/>
      <c r="K239" s="1779"/>
      <c r="L239" s="1779"/>
      <c r="M239" s="1779"/>
      <c r="N239" s="1779"/>
      <c r="O239" s="1779"/>
      <c r="P239" s="357"/>
      <c r="S239" s="277"/>
      <c r="T239" s="277"/>
      <c r="U239" s="277"/>
      <c r="V239" s="277"/>
      <c r="W239" s="277"/>
      <c r="X239" s="277"/>
      <c r="Y239" s="277"/>
      <c r="Z239" s="277"/>
      <c r="AA239" s="277"/>
      <c r="AB239" s="277"/>
      <c r="AC239" s="277"/>
      <c r="AD239" s="277"/>
      <c r="AE239" s="277"/>
      <c r="AF239" s="277"/>
      <c r="AG239" s="277"/>
      <c r="AH239" s="277"/>
      <c r="AI239" s="277"/>
      <c r="AJ239" s="216"/>
      <c r="AK239" s="304"/>
      <c r="AL239" s="303"/>
      <c r="AM239" s="216"/>
      <c r="AN239" s="304"/>
      <c r="AO239" s="277"/>
      <c r="AP239" s="303"/>
      <c r="AQ239" s="303"/>
      <c r="AR239" s="304"/>
      <c r="AS239" s="303"/>
      <c r="AT239" s="303"/>
      <c r="AU239" s="303"/>
      <c r="AV239" s="303"/>
      <c r="AW239" s="213"/>
      <c r="AX239" s="213"/>
      <c r="AY239" s="213"/>
      <c r="AZ239" s="213"/>
      <c r="BA239" s="213"/>
      <c r="BB239" s="213"/>
      <c r="BC239" s="213"/>
      <c r="BD239" s="213"/>
      <c r="BE239" s="213"/>
      <c r="BF239" s="213"/>
      <c r="BG239" s="213"/>
      <c r="BH239" s="213"/>
      <c r="BI239" s="213"/>
      <c r="BJ239" s="213"/>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row>
    <row r="240" spans="1:243" ht="15.6">
      <c r="A240" s="322" t="s">
        <v>928</v>
      </c>
      <c r="B240" s="322" t="s">
        <v>928</v>
      </c>
      <c r="C240" s="335"/>
      <c r="D240" s="358" t="s">
        <v>715</v>
      </c>
      <c r="E240" s="358" t="s">
        <v>716</v>
      </c>
      <c r="F240" s="358" t="s">
        <v>717</v>
      </c>
      <c r="G240" s="358" t="s">
        <v>718</v>
      </c>
      <c r="H240" s="358" t="s">
        <v>719</v>
      </c>
      <c r="I240" s="358" t="s">
        <v>720</v>
      </c>
      <c r="J240" s="358" t="s">
        <v>721</v>
      </c>
      <c r="K240" s="358" t="s">
        <v>722</v>
      </c>
      <c r="L240" s="358" t="s">
        <v>723</v>
      </c>
      <c r="M240" s="358" t="s">
        <v>724</v>
      </c>
      <c r="N240" s="358" t="s">
        <v>725</v>
      </c>
      <c r="O240" s="358" t="s">
        <v>726</v>
      </c>
      <c r="P240" s="359"/>
      <c r="S240" s="277"/>
      <c r="T240" s="277"/>
      <c r="U240" s="277"/>
      <c r="V240" s="277"/>
      <c r="W240" s="277"/>
      <c r="X240" s="277"/>
      <c r="Y240" s="277"/>
      <c r="Z240" s="277"/>
      <c r="AA240" s="277"/>
      <c r="AB240" s="277"/>
      <c r="AC240" s="277"/>
      <c r="AD240" s="277"/>
      <c r="AE240" s="277"/>
      <c r="AF240" s="277"/>
      <c r="AG240" s="277"/>
      <c r="AH240" s="277"/>
      <c r="AI240" s="277"/>
      <c r="AJ240" s="216"/>
      <c r="AK240" s="304"/>
      <c r="AL240" s="303"/>
      <c r="AM240" s="216"/>
      <c r="AN240" s="304"/>
      <c r="AO240" s="277"/>
      <c r="AP240" s="303"/>
      <c r="AQ240" s="303"/>
      <c r="AR240" s="304"/>
      <c r="AS240" s="303"/>
      <c r="AT240" s="303"/>
      <c r="AU240" s="303"/>
      <c r="AV240" s="303"/>
      <c r="AW240" s="213"/>
      <c r="AX240" s="213"/>
      <c r="AY240" s="213"/>
      <c r="AZ240" s="213"/>
      <c r="BA240" s="213"/>
      <c r="BB240" s="213"/>
      <c r="BC240" s="213"/>
      <c r="BD240" s="213"/>
      <c r="BE240" s="213"/>
      <c r="BF240" s="213"/>
      <c r="BG240" s="213"/>
      <c r="BH240" s="213"/>
      <c r="BI240" s="213"/>
      <c r="BJ240" s="213"/>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row>
    <row r="241" spans="1:243" ht="15.6">
      <c r="A241" s="170">
        <f>A235+1</f>
        <v>145</v>
      </c>
      <c r="B241" s="327">
        <v>341</v>
      </c>
      <c r="C241" s="287"/>
      <c r="D241" s="905">
        <v>0</v>
      </c>
      <c r="E241" s="905">
        <v>0</v>
      </c>
      <c r="F241" s="905">
        <v>0</v>
      </c>
      <c r="G241" s="905">
        <v>0</v>
      </c>
      <c r="H241" s="905">
        <v>0</v>
      </c>
      <c r="I241" s="905">
        <v>0</v>
      </c>
      <c r="J241" s="905">
        <v>0</v>
      </c>
      <c r="K241" s="905">
        <v>0</v>
      </c>
      <c r="L241" s="905">
        <v>0</v>
      </c>
      <c r="M241" s="905">
        <v>0</v>
      </c>
      <c r="N241" s="905">
        <v>0</v>
      </c>
      <c r="O241" s="905">
        <v>0</v>
      </c>
      <c r="P241" s="339"/>
      <c r="S241" s="277"/>
      <c r="T241" s="277"/>
      <c r="U241" s="277"/>
      <c r="V241" s="277"/>
      <c r="W241" s="277"/>
      <c r="X241" s="277"/>
      <c r="Y241" s="277"/>
      <c r="Z241" s="277"/>
      <c r="AA241" s="277"/>
      <c r="AB241" s="277"/>
      <c r="AC241" s="277"/>
      <c r="AD241" s="277"/>
      <c r="AE241" s="277"/>
      <c r="AF241" s="277"/>
      <c r="AG241" s="277"/>
      <c r="AH241" s="277"/>
      <c r="AI241" s="277"/>
      <c r="AJ241" s="216"/>
      <c r="AK241" s="304"/>
      <c r="AL241" s="303"/>
      <c r="AM241" s="216"/>
      <c r="AN241" s="304"/>
      <c r="AO241" s="277"/>
      <c r="AP241" s="303"/>
      <c r="AQ241" s="303"/>
      <c r="AR241" s="304"/>
      <c r="AS241" s="303"/>
      <c r="AT241" s="303"/>
      <c r="AU241" s="303"/>
      <c r="AV241" s="303"/>
      <c r="AW241" s="213"/>
      <c r="AX241" s="213"/>
      <c r="AY241" s="213"/>
      <c r="AZ241" s="213"/>
      <c r="BA241" s="213"/>
      <c r="BB241" s="213"/>
      <c r="BC241" s="213"/>
      <c r="BD241" s="213"/>
      <c r="BE241" s="213"/>
      <c r="BF241" s="213"/>
      <c r="BG241" s="213"/>
      <c r="BH241" s="213"/>
      <c r="BI241" s="213"/>
      <c r="BJ241" s="213"/>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row>
    <row r="242" spans="1:243" ht="15.6">
      <c r="A242" s="170">
        <f>A241+1</f>
        <v>146</v>
      </c>
      <c r="B242" s="327">
        <v>342</v>
      </c>
      <c r="C242" s="287"/>
      <c r="D242" s="907">
        <v>0</v>
      </c>
      <c r="E242" s="907">
        <v>0</v>
      </c>
      <c r="F242" s="907">
        <v>0</v>
      </c>
      <c r="G242" s="907">
        <v>0</v>
      </c>
      <c r="H242" s="907">
        <v>0</v>
      </c>
      <c r="I242" s="907">
        <v>0</v>
      </c>
      <c r="J242" s="907">
        <v>0</v>
      </c>
      <c r="K242" s="907">
        <v>0</v>
      </c>
      <c r="L242" s="907">
        <v>0</v>
      </c>
      <c r="M242" s="907">
        <v>0</v>
      </c>
      <c r="N242" s="907">
        <v>0</v>
      </c>
      <c r="O242" s="907">
        <v>0</v>
      </c>
      <c r="P242" s="339"/>
      <c r="S242" s="277"/>
      <c r="T242" s="277"/>
      <c r="U242" s="277"/>
      <c r="V242" s="277"/>
      <c r="W242" s="277"/>
      <c r="X242" s="277"/>
      <c r="Y242" s="277"/>
      <c r="Z242" s="277"/>
      <c r="AA242" s="277"/>
      <c r="AB242" s="277"/>
      <c r="AC242" s="277"/>
      <c r="AD242" s="277"/>
      <c r="AE242" s="277"/>
      <c r="AF242" s="277"/>
      <c r="AG242" s="277"/>
      <c r="AH242" s="277"/>
      <c r="AI242" s="277"/>
      <c r="AJ242" s="216"/>
      <c r="AK242" s="304"/>
      <c r="AL242" s="303"/>
      <c r="AM242" s="216"/>
      <c r="AN242" s="304"/>
      <c r="AO242" s="277"/>
      <c r="AP242" s="303"/>
      <c r="AQ242" s="303"/>
      <c r="AR242" s="304"/>
      <c r="AS242" s="303"/>
      <c r="AT242" s="303"/>
      <c r="AU242" s="303"/>
      <c r="AV242" s="303"/>
      <c r="AW242" s="213"/>
      <c r="AX242" s="213"/>
      <c r="AY242" s="213"/>
      <c r="AZ242" s="213"/>
      <c r="BA242" s="213"/>
      <c r="BB242" s="213"/>
      <c r="BC242" s="213"/>
      <c r="BD242" s="213"/>
      <c r="BE242" s="213"/>
      <c r="BF242" s="213"/>
      <c r="BG242" s="213"/>
      <c r="BH242" s="213"/>
      <c r="BI242" s="213"/>
      <c r="BJ242" s="213"/>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row>
    <row r="243" spans="1:243" ht="15.6">
      <c r="A243" s="170">
        <f>A242+1</f>
        <v>147</v>
      </c>
      <c r="B243" s="327">
        <v>344</v>
      </c>
      <c r="C243" s="287"/>
      <c r="D243" s="907">
        <v>0</v>
      </c>
      <c r="E243" s="907">
        <v>0</v>
      </c>
      <c r="F243" s="907">
        <v>0</v>
      </c>
      <c r="G243" s="907">
        <v>0</v>
      </c>
      <c r="H243" s="907">
        <v>0</v>
      </c>
      <c r="I243" s="907">
        <v>0</v>
      </c>
      <c r="J243" s="907">
        <v>0</v>
      </c>
      <c r="K243" s="907">
        <v>0</v>
      </c>
      <c r="L243" s="907">
        <v>0</v>
      </c>
      <c r="M243" s="907">
        <v>0</v>
      </c>
      <c r="N243" s="907">
        <v>0</v>
      </c>
      <c r="O243" s="907">
        <v>0</v>
      </c>
      <c r="P243" s="339"/>
      <c r="S243" s="277"/>
      <c r="T243" s="277"/>
      <c r="U243" s="277"/>
      <c r="V243" s="277"/>
      <c r="W243" s="277"/>
      <c r="X243" s="277"/>
      <c r="Y243" s="277"/>
      <c r="Z243" s="277"/>
      <c r="AA243" s="277"/>
      <c r="AB243" s="277"/>
      <c r="AC243" s="277"/>
      <c r="AD243" s="277"/>
      <c r="AE243" s="277"/>
      <c r="AF243" s="277"/>
      <c r="AG243" s="277"/>
      <c r="AH243" s="277"/>
      <c r="AI243" s="277"/>
      <c r="AJ243" s="216"/>
      <c r="AK243" s="304"/>
      <c r="AL243" s="303"/>
      <c r="AM243" s="216"/>
      <c r="AN243" s="304"/>
      <c r="AO243" s="277"/>
      <c r="AP243" s="303"/>
      <c r="AQ243" s="303"/>
      <c r="AR243" s="304"/>
      <c r="AS243" s="303"/>
      <c r="AT243" s="303"/>
      <c r="AU243" s="303"/>
      <c r="AV243" s="303"/>
      <c r="AW243" s="213"/>
      <c r="AX243" s="213"/>
      <c r="AY243" s="213"/>
      <c r="AZ243" s="213"/>
      <c r="BA243" s="213"/>
      <c r="BB243" s="213"/>
      <c r="BC243" s="213"/>
      <c r="BD243" s="213"/>
      <c r="BE243" s="213"/>
      <c r="BF243" s="213"/>
      <c r="BG243" s="213"/>
      <c r="BH243" s="213"/>
      <c r="BI243" s="213"/>
      <c r="BJ243" s="21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row>
    <row r="244" spans="1:243" ht="15.6">
      <c r="A244" s="170">
        <f>A243+1</f>
        <v>148</v>
      </c>
      <c r="B244" s="327">
        <v>345</v>
      </c>
      <c r="C244" s="287"/>
      <c r="D244" s="907">
        <v>0</v>
      </c>
      <c r="E244" s="907">
        <v>0</v>
      </c>
      <c r="F244" s="907">
        <v>0</v>
      </c>
      <c r="G244" s="907">
        <v>0</v>
      </c>
      <c r="H244" s="907">
        <v>0</v>
      </c>
      <c r="I244" s="907">
        <v>0</v>
      </c>
      <c r="J244" s="907">
        <v>0</v>
      </c>
      <c r="K244" s="907">
        <v>0</v>
      </c>
      <c r="L244" s="907">
        <v>0</v>
      </c>
      <c r="M244" s="907">
        <v>0</v>
      </c>
      <c r="N244" s="907">
        <v>0</v>
      </c>
      <c r="O244" s="907">
        <v>0</v>
      </c>
      <c r="P244" s="339"/>
      <c r="S244" s="277"/>
      <c r="T244" s="277"/>
      <c r="U244" s="277"/>
      <c r="V244" s="277"/>
      <c r="W244" s="277"/>
      <c r="X244" s="277"/>
      <c r="Y244" s="277"/>
      <c r="Z244" s="277"/>
      <c r="AA244" s="277"/>
      <c r="AB244" s="277"/>
      <c r="AC244" s="277"/>
      <c r="AD244" s="277"/>
      <c r="AE244" s="277"/>
      <c r="AF244" s="277"/>
      <c r="AG244" s="277"/>
      <c r="AH244" s="277"/>
      <c r="AI244" s="277"/>
      <c r="AJ244" s="216"/>
      <c r="AK244" s="304"/>
      <c r="AL244" s="303"/>
      <c r="AM244" s="216"/>
      <c r="AN244" s="304"/>
      <c r="AO244" s="277"/>
      <c r="AP244" s="303"/>
      <c r="AQ244" s="303"/>
      <c r="AR244" s="304"/>
      <c r="AS244" s="303"/>
      <c r="AT244" s="303"/>
      <c r="AU244" s="303"/>
      <c r="AV244" s="303"/>
      <c r="AW244" s="213"/>
      <c r="AX244" s="213"/>
      <c r="AY244" s="213"/>
      <c r="AZ244" s="213"/>
      <c r="BA244" s="213"/>
      <c r="BB244" s="213"/>
      <c r="BC244" s="213"/>
      <c r="BD244" s="213"/>
      <c r="BE244" s="213"/>
      <c r="BF244" s="213"/>
      <c r="BG244" s="213"/>
      <c r="BH244" s="213"/>
      <c r="BI244" s="213"/>
      <c r="BJ244" s="213"/>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row>
    <row r="245" spans="1:243" ht="15.6">
      <c r="A245" s="170">
        <f>A244+1</f>
        <v>149</v>
      </c>
      <c r="B245" s="327">
        <v>346</v>
      </c>
      <c r="C245" s="287"/>
      <c r="D245" s="907">
        <v>0</v>
      </c>
      <c r="E245" s="907">
        <v>0</v>
      </c>
      <c r="F245" s="907">
        <v>0</v>
      </c>
      <c r="G245" s="907">
        <v>0</v>
      </c>
      <c r="H245" s="907">
        <v>0</v>
      </c>
      <c r="I245" s="907">
        <v>0</v>
      </c>
      <c r="J245" s="907">
        <v>0</v>
      </c>
      <c r="K245" s="907">
        <v>0</v>
      </c>
      <c r="L245" s="907">
        <v>0</v>
      </c>
      <c r="M245" s="907">
        <v>0</v>
      </c>
      <c r="N245" s="907">
        <v>0</v>
      </c>
      <c r="O245" s="907">
        <v>0</v>
      </c>
      <c r="P245" s="339"/>
      <c r="S245" s="277"/>
      <c r="T245" s="277"/>
      <c r="U245" s="277"/>
      <c r="V245" s="277"/>
      <c r="W245" s="277"/>
      <c r="X245" s="277"/>
      <c r="Y245" s="277"/>
      <c r="Z245" s="277"/>
      <c r="AA245" s="277"/>
      <c r="AB245" s="277"/>
      <c r="AC245" s="277"/>
      <c r="AD245" s="277"/>
      <c r="AE245" s="277"/>
      <c r="AF245" s="277"/>
      <c r="AG245" s="277"/>
      <c r="AH245" s="277"/>
      <c r="AI245" s="277"/>
      <c r="AJ245" s="216"/>
      <c r="AK245" s="304"/>
      <c r="AL245" s="303"/>
      <c r="AM245" s="216"/>
      <c r="AN245" s="304"/>
      <c r="AO245" s="277"/>
      <c r="AP245" s="303"/>
      <c r="AQ245" s="303"/>
      <c r="AR245" s="304"/>
      <c r="AS245" s="303"/>
      <c r="AT245" s="303"/>
      <c r="AU245" s="303"/>
      <c r="AV245" s="303"/>
      <c r="AW245" s="213"/>
      <c r="AX245" s="213"/>
      <c r="AY245" s="213"/>
      <c r="AZ245" s="213"/>
      <c r="BA245" s="213"/>
      <c r="BB245" s="213"/>
      <c r="BC245" s="213"/>
      <c r="BD245" s="213"/>
      <c r="BE245" s="213"/>
      <c r="BF245" s="213"/>
      <c r="BG245" s="213"/>
      <c r="BH245" s="213"/>
      <c r="BI245" s="213"/>
      <c r="BJ245" s="213"/>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row>
    <row r="246" spans="1:243" ht="15.6">
      <c r="A246" s="355"/>
      <c r="B246" s="336"/>
      <c r="C246" s="287"/>
      <c r="D246" s="287"/>
      <c r="E246" s="287"/>
      <c r="F246" s="287"/>
      <c r="G246" s="287"/>
      <c r="H246" s="287"/>
      <c r="I246" s="287"/>
      <c r="J246" s="287"/>
      <c r="K246" s="334"/>
      <c r="L246" s="287"/>
      <c r="M246" s="287"/>
      <c r="N246" s="287"/>
      <c r="O246" s="287"/>
      <c r="P246" s="339"/>
      <c r="S246" s="277"/>
      <c r="T246" s="277"/>
      <c r="U246" s="277"/>
      <c r="V246" s="277"/>
      <c r="W246" s="277"/>
      <c r="X246" s="277"/>
      <c r="Y246" s="277"/>
      <c r="Z246" s="277"/>
      <c r="AA246" s="277"/>
      <c r="AB246" s="277"/>
      <c r="AC246" s="277"/>
      <c r="AD246" s="277"/>
      <c r="AE246" s="277"/>
      <c r="AF246" s="277"/>
      <c r="AG246" s="277"/>
      <c r="AH246" s="277"/>
      <c r="AI246" s="277"/>
      <c r="AJ246" s="216"/>
      <c r="AK246" s="304"/>
      <c r="AL246" s="303"/>
      <c r="AM246" s="216"/>
      <c r="AN246" s="304"/>
      <c r="AO246" s="277"/>
      <c r="AP246" s="303"/>
      <c r="AQ246" s="303"/>
      <c r="AR246" s="304"/>
      <c r="AS246" s="303"/>
      <c r="AT246" s="303"/>
      <c r="AU246" s="303"/>
      <c r="AV246" s="303"/>
      <c r="AW246" s="213"/>
      <c r="AX246" s="213"/>
      <c r="AY246" s="213"/>
      <c r="AZ246" s="213"/>
      <c r="BA246" s="213"/>
      <c r="BB246" s="213"/>
      <c r="BC246" s="213"/>
      <c r="BD246" s="213"/>
      <c r="BE246" s="213"/>
      <c r="BF246" s="213"/>
      <c r="BG246" s="213"/>
      <c r="BH246" s="213"/>
      <c r="BI246" s="213"/>
      <c r="BJ246" s="213"/>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row>
    <row r="247" spans="1:243" ht="18.600000000000001">
      <c r="A247" s="355"/>
      <c r="B247" s="355" t="s">
        <v>1078</v>
      </c>
      <c r="C247" s="334" t="s">
        <v>727</v>
      </c>
      <c r="D247" s="1778" t="s">
        <v>728</v>
      </c>
      <c r="E247" s="1779"/>
      <c r="F247" s="1779"/>
      <c r="G247" s="1779"/>
      <c r="H247" s="1779"/>
      <c r="I247" s="1779"/>
      <c r="J247" s="1779"/>
      <c r="K247" s="1779"/>
      <c r="L247" s="1779"/>
      <c r="M247" s="1779"/>
      <c r="N247" s="1779"/>
      <c r="O247" s="1779"/>
      <c r="P247" s="1779"/>
      <c r="S247" s="277"/>
      <c r="T247" s="277"/>
      <c r="U247" s="277"/>
      <c r="V247" s="277"/>
      <c r="W247" s="277"/>
      <c r="X247" s="277"/>
      <c r="Y247" s="277"/>
      <c r="Z247" s="277"/>
      <c r="AA247" s="277"/>
      <c r="AB247" s="277"/>
      <c r="AC247" s="277"/>
      <c r="AD247" s="277"/>
      <c r="AE247" s="277"/>
      <c r="AF247" s="277"/>
      <c r="AG247" s="277"/>
      <c r="AH247" s="277"/>
      <c r="AI247" s="277"/>
      <c r="AJ247" s="216"/>
      <c r="AK247" s="304"/>
      <c r="AL247" s="303"/>
      <c r="AM247" s="216"/>
      <c r="AN247" s="304"/>
      <c r="AO247" s="277"/>
      <c r="AP247" s="303"/>
      <c r="AQ247" s="303"/>
      <c r="AR247" s="304"/>
      <c r="AS247" s="303"/>
      <c r="AT247" s="303"/>
      <c r="AU247" s="303"/>
      <c r="AV247" s="303"/>
      <c r="AW247" s="213"/>
      <c r="AX247" s="213"/>
      <c r="AY247" s="213"/>
      <c r="AZ247" s="213"/>
      <c r="BA247" s="213"/>
      <c r="BB247" s="213"/>
      <c r="BC247" s="213"/>
      <c r="BD247" s="213"/>
      <c r="BE247" s="213"/>
      <c r="BF247" s="213"/>
      <c r="BG247" s="213"/>
      <c r="BH247" s="213"/>
      <c r="BI247" s="213"/>
      <c r="BJ247" s="213"/>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row>
    <row r="248" spans="1:243" ht="18.600000000000001">
      <c r="A248" s="322"/>
      <c r="B248" s="322" t="s">
        <v>928</v>
      </c>
      <c r="C248" s="335" t="s">
        <v>729</v>
      </c>
      <c r="D248" s="358" t="s">
        <v>716</v>
      </c>
      <c r="E248" s="358" t="s">
        <v>717</v>
      </c>
      <c r="F248" s="358" t="s">
        <v>718</v>
      </c>
      <c r="G248" s="358" t="s">
        <v>719</v>
      </c>
      <c r="H248" s="358" t="s">
        <v>720</v>
      </c>
      <c r="I248" s="358" t="s">
        <v>721</v>
      </c>
      <c r="J248" s="358" t="s">
        <v>722</v>
      </c>
      <c r="K248" s="358" t="s">
        <v>723</v>
      </c>
      <c r="L248" s="358" t="s">
        <v>724</v>
      </c>
      <c r="M248" s="358" t="s">
        <v>725</v>
      </c>
      <c r="N248" s="358" t="s">
        <v>726</v>
      </c>
      <c r="O248" s="358" t="s">
        <v>715</v>
      </c>
      <c r="P248" s="360" t="s">
        <v>468</v>
      </c>
      <c r="S248" s="277"/>
      <c r="T248" s="277"/>
      <c r="U248" s="277"/>
      <c r="V248" s="277"/>
      <c r="W248" s="277"/>
      <c r="X248" s="277"/>
      <c r="Y248" s="277"/>
      <c r="Z248" s="277"/>
      <c r="AA248" s="277"/>
      <c r="AB248" s="277"/>
      <c r="AC248" s="277"/>
      <c r="AD248" s="277"/>
      <c r="AE248" s="277"/>
      <c r="AF248" s="277"/>
      <c r="AG248" s="277"/>
      <c r="AH248" s="277"/>
      <c r="AI248" s="277"/>
      <c r="AJ248" s="216"/>
      <c r="AK248" s="304"/>
      <c r="AL248" s="303"/>
      <c r="AM248" s="216"/>
      <c r="AN248" s="304"/>
      <c r="AO248" s="277"/>
      <c r="AP248" s="303"/>
      <c r="AQ248" s="303"/>
      <c r="AR248" s="304"/>
      <c r="AS248" s="303"/>
      <c r="AT248" s="303"/>
      <c r="AU248" s="303"/>
      <c r="AV248" s="303"/>
      <c r="AW248" s="213"/>
      <c r="AX248" s="213"/>
      <c r="AY248" s="213"/>
      <c r="AZ248" s="213"/>
      <c r="BA248" s="213"/>
      <c r="BB248" s="213"/>
      <c r="BC248" s="213"/>
      <c r="BD248" s="213"/>
      <c r="BE248" s="213"/>
      <c r="BF248" s="213"/>
      <c r="BG248" s="213"/>
      <c r="BH248" s="213"/>
      <c r="BI248" s="213"/>
      <c r="BJ248" s="213"/>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row>
    <row r="249" spans="1:243" ht="15.6">
      <c r="A249" s="170">
        <f>A245+1</f>
        <v>150</v>
      </c>
      <c r="B249" s="327">
        <f>B241</f>
        <v>341</v>
      </c>
      <c r="C249" s="908"/>
      <c r="D249" s="603">
        <f>D241*$C249/100/12</f>
        <v>0</v>
      </c>
      <c r="E249" s="603">
        <f t="shared" ref="E249:O249" si="52">E241*$C249/100/12</f>
        <v>0</v>
      </c>
      <c r="F249" s="603">
        <f t="shared" si="52"/>
        <v>0</v>
      </c>
      <c r="G249" s="603">
        <f t="shared" si="52"/>
        <v>0</v>
      </c>
      <c r="H249" s="603">
        <f t="shared" si="52"/>
        <v>0</v>
      </c>
      <c r="I249" s="603">
        <f t="shared" si="52"/>
        <v>0</v>
      </c>
      <c r="J249" s="603">
        <f t="shared" si="52"/>
        <v>0</v>
      </c>
      <c r="K249" s="603">
        <f t="shared" si="52"/>
        <v>0</v>
      </c>
      <c r="L249" s="603">
        <f t="shared" si="52"/>
        <v>0</v>
      </c>
      <c r="M249" s="603">
        <f t="shared" si="52"/>
        <v>0</v>
      </c>
      <c r="N249" s="603">
        <f t="shared" si="52"/>
        <v>0</v>
      </c>
      <c r="O249" s="603">
        <f t="shared" si="52"/>
        <v>0</v>
      </c>
      <c r="P249" s="333">
        <f>SUM(D249:O249)</f>
        <v>0</v>
      </c>
      <c r="S249" s="277"/>
      <c r="T249" s="277"/>
      <c r="U249" s="277"/>
      <c r="V249" s="277"/>
      <c r="W249" s="277"/>
      <c r="X249" s="277"/>
      <c r="Y249" s="277"/>
      <c r="Z249" s="277"/>
      <c r="AA249" s="277"/>
      <c r="AB249" s="277"/>
      <c r="AC249" s="277"/>
      <c r="AD249" s="277"/>
      <c r="AE249" s="277"/>
      <c r="AF249" s="277"/>
      <c r="AG249" s="277"/>
      <c r="AH249" s="277"/>
      <c r="AI249" s="277"/>
      <c r="AJ249" s="216"/>
      <c r="AK249" s="304"/>
      <c r="AL249" s="303"/>
      <c r="AM249" s="216"/>
      <c r="AN249" s="312"/>
      <c r="AO249" s="277"/>
      <c r="AP249" s="303"/>
      <c r="AQ249" s="303"/>
      <c r="AR249" s="304"/>
      <c r="AS249" s="303"/>
      <c r="AT249" s="303"/>
      <c r="AU249" s="303"/>
      <c r="AV249" s="303"/>
      <c r="AW249" s="213"/>
      <c r="AX249" s="213"/>
      <c r="AY249" s="213"/>
      <c r="AZ249" s="213"/>
      <c r="BA249" s="213"/>
      <c r="BB249" s="213"/>
      <c r="BC249" s="213"/>
      <c r="BD249" s="213"/>
      <c r="BE249" s="213"/>
      <c r="BF249" s="213"/>
      <c r="BG249" s="213"/>
      <c r="BH249" s="213"/>
      <c r="BI249" s="213"/>
      <c r="BJ249" s="213"/>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row>
    <row r="250" spans="1:243" ht="15.6">
      <c r="A250" s="170">
        <f>A249+1</f>
        <v>151</v>
      </c>
      <c r="B250" s="327">
        <f>B242</f>
        <v>342</v>
      </c>
      <c r="C250" s="908"/>
      <c r="D250" s="603">
        <f t="shared" ref="D250:O253" si="53">D242*$C250/100/12</f>
        <v>0</v>
      </c>
      <c r="E250" s="603">
        <f t="shared" si="53"/>
        <v>0</v>
      </c>
      <c r="F250" s="603">
        <f t="shared" si="53"/>
        <v>0</v>
      </c>
      <c r="G250" s="603">
        <f t="shared" si="53"/>
        <v>0</v>
      </c>
      <c r="H250" s="603">
        <f t="shared" si="53"/>
        <v>0</v>
      </c>
      <c r="I250" s="603">
        <f t="shared" si="53"/>
        <v>0</v>
      </c>
      <c r="J250" s="603">
        <f t="shared" si="53"/>
        <v>0</v>
      </c>
      <c r="K250" s="603">
        <f t="shared" si="53"/>
        <v>0</v>
      </c>
      <c r="L250" s="603">
        <f t="shared" si="53"/>
        <v>0</v>
      </c>
      <c r="M250" s="603">
        <f t="shared" si="53"/>
        <v>0</v>
      </c>
      <c r="N250" s="603">
        <f t="shared" si="53"/>
        <v>0</v>
      </c>
      <c r="O250" s="603">
        <f t="shared" si="53"/>
        <v>0</v>
      </c>
      <c r="P250" s="333">
        <f>SUM(D250:O250)</f>
        <v>0</v>
      </c>
      <c r="S250" s="277"/>
      <c r="T250" s="277"/>
      <c r="U250" s="277"/>
      <c r="V250" s="277"/>
      <c r="W250" s="277"/>
      <c r="X250" s="277"/>
      <c r="Y250" s="277"/>
      <c r="Z250" s="277"/>
      <c r="AA250" s="277"/>
      <c r="AB250" s="277"/>
      <c r="AC250" s="277"/>
      <c r="AD250" s="277"/>
      <c r="AE250" s="277"/>
      <c r="AF250" s="277"/>
      <c r="AG250" s="277"/>
      <c r="AH250" s="277"/>
      <c r="AI250" s="277"/>
      <c r="AJ250" s="216"/>
      <c r="AK250" s="304"/>
      <c r="AL250" s="303"/>
      <c r="AM250" s="216"/>
      <c r="AN250" s="304"/>
      <c r="AO250" s="277"/>
      <c r="AP250" s="303"/>
      <c r="AQ250" s="303"/>
      <c r="AR250" s="304"/>
      <c r="AS250" s="303"/>
      <c r="AT250" s="303"/>
      <c r="AU250" s="303"/>
      <c r="AV250" s="303"/>
      <c r="AW250" s="213"/>
      <c r="AX250" s="213"/>
      <c r="AY250" s="213"/>
      <c r="AZ250" s="213"/>
      <c r="BA250" s="213"/>
      <c r="BB250" s="213"/>
      <c r="BC250" s="213"/>
      <c r="BD250" s="213"/>
      <c r="BE250" s="213"/>
      <c r="BF250" s="213"/>
      <c r="BG250" s="213"/>
      <c r="BH250" s="213"/>
      <c r="BI250" s="213"/>
      <c r="BJ250" s="213"/>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row>
    <row r="251" spans="1:243" ht="15.6">
      <c r="A251" s="170">
        <f>A250+1</f>
        <v>152</v>
      </c>
      <c r="B251" s="327">
        <f>B243</f>
        <v>344</v>
      </c>
      <c r="C251" s="908"/>
      <c r="D251" s="603">
        <f t="shared" si="53"/>
        <v>0</v>
      </c>
      <c r="E251" s="603">
        <f t="shared" si="53"/>
        <v>0</v>
      </c>
      <c r="F251" s="603">
        <f t="shared" si="53"/>
        <v>0</v>
      </c>
      <c r="G251" s="603">
        <f t="shared" si="53"/>
        <v>0</v>
      </c>
      <c r="H251" s="603">
        <f t="shared" si="53"/>
        <v>0</v>
      </c>
      <c r="I251" s="603">
        <f t="shared" si="53"/>
        <v>0</v>
      </c>
      <c r="J251" s="603">
        <f t="shared" si="53"/>
        <v>0</v>
      </c>
      <c r="K251" s="603">
        <f t="shared" si="53"/>
        <v>0</v>
      </c>
      <c r="L251" s="603">
        <f t="shared" si="53"/>
        <v>0</v>
      </c>
      <c r="M251" s="603">
        <f t="shared" si="53"/>
        <v>0</v>
      </c>
      <c r="N251" s="603">
        <f t="shared" si="53"/>
        <v>0</v>
      </c>
      <c r="O251" s="603">
        <f t="shared" si="53"/>
        <v>0</v>
      </c>
      <c r="P251" s="333">
        <f>SUM(D251:O251)</f>
        <v>0</v>
      </c>
      <c r="S251" s="277"/>
      <c r="T251" s="277"/>
      <c r="U251" s="277"/>
      <c r="V251" s="277"/>
      <c r="W251" s="277"/>
      <c r="X251" s="277"/>
      <c r="Y251" s="277"/>
      <c r="Z251" s="277"/>
      <c r="AA251" s="277"/>
      <c r="AB251" s="277"/>
      <c r="AC251" s="277"/>
      <c r="AD251" s="277"/>
      <c r="AE251" s="277"/>
      <c r="AF251" s="277"/>
      <c r="AG251" s="277"/>
      <c r="AH251" s="277"/>
      <c r="AI251" s="277"/>
      <c r="AJ251" s="216"/>
      <c r="AK251" s="304"/>
      <c r="AL251" s="303"/>
      <c r="AM251" s="216"/>
      <c r="AN251" s="304"/>
      <c r="AO251" s="277"/>
      <c r="AP251" s="303"/>
      <c r="AQ251" s="303"/>
      <c r="AR251" s="304"/>
      <c r="AS251" s="303"/>
      <c r="AT251" s="303"/>
      <c r="AU251" s="303"/>
      <c r="AV251" s="303"/>
      <c r="AW251" s="213"/>
      <c r="AX251" s="213"/>
      <c r="AY251" s="213"/>
      <c r="AZ251" s="213"/>
      <c r="BA251" s="213"/>
      <c r="BB251" s="213"/>
      <c r="BC251" s="213"/>
      <c r="BD251" s="213"/>
      <c r="BE251" s="213"/>
      <c r="BF251" s="213"/>
      <c r="BG251" s="213"/>
      <c r="BH251" s="213"/>
      <c r="BI251" s="213"/>
      <c r="BJ251" s="213"/>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row>
    <row r="252" spans="1:243" ht="15.6">
      <c r="A252" s="170">
        <f>A251+1</f>
        <v>153</v>
      </c>
      <c r="B252" s="327">
        <f>B244</f>
        <v>345</v>
      </c>
      <c r="C252" s="908"/>
      <c r="D252" s="603">
        <f t="shared" si="53"/>
        <v>0</v>
      </c>
      <c r="E252" s="603">
        <f t="shared" si="53"/>
        <v>0</v>
      </c>
      <c r="F252" s="603">
        <f t="shared" si="53"/>
        <v>0</v>
      </c>
      <c r="G252" s="603">
        <f t="shared" si="53"/>
        <v>0</v>
      </c>
      <c r="H252" s="603">
        <f t="shared" si="53"/>
        <v>0</v>
      </c>
      <c r="I252" s="603">
        <f t="shared" si="53"/>
        <v>0</v>
      </c>
      <c r="J252" s="603">
        <f t="shared" si="53"/>
        <v>0</v>
      </c>
      <c r="K252" s="603">
        <f t="shared" si="53"/>
        <v>0</v>
      </c>
      <c r="L252" s="603">
        <f t="shared" si="53"/>
        <v>0</v>
      </c>
      <c r="M252" s="603">
        <f t="shared" si="53"/>
        <v>0</v>
      </c>
      <c r="N252" s="603">
        <f t="shared" si="53"/>
        <v>0</v>
      </c>
      <c r="O252" s="603">
        <f t="shared" si="53"/>
        <v>0</v>
      </c>
      <c r="P252" s="333">
        <f>SUM(D252:O252)</f>
        <v>0</v>
      </c>
      <c r="S252" s="277"/>
      <c r="T252" s="277"/>
      <c r="U252" s="277"/>
      <c r="V252" s="277"/>
      <c r="W252" s="277"/>
      <c r="X252" s="277"/>
      <c r="Y252" s="277"/>
      <c r="Z252" s="277"/>
      <c r="AA252" s="277"/>
      <c r="AB252" s="277"/>
      <c r="AC252" s="277"/>
      <c r="AD252" s="277"/>
      <c r="AE252" s="277"/>
      <c r="AF252" s="277"/>
      <c r="AG252" s="277"/>
      <c r="AH252" s="277"/>
      <c r="AI252" s="277"/>
      <c r="AJ252" s="216"/>
      <c r="AK252" s="304"/>
      <c r="AL252" s="303"/>
      <c r="AM252" s="216"/>
      <c r="AN252" s="304"/>
      <c r="AO252" s="277"/>
      <c r="AP252" s="303"/>
      <c r="AQ252" s="303"/>
      <c r="AR252" s="304"/>
      <c r="AS252" s="303"/>
      <c r="AT252" s="303"/>
      <c r="AU252" s="303"/>
      <c r="AV252" s="303"/>
      <c r="AW252" s="213"/>
      <c r="AX252" s="213"/>
      <c r="AY252" s="213"/>
      <c r="AZ252" s="213"/>
      <c r="BA252" s="213"/>
      <c r="BB252" s="213"/>
      <c r="BC252" s="213"/>
      <c r="BD252" s="213"/>
      <c r="BE252" s="213"/>
      <c r="BF252" s="213"/>
      <c r="BG252" s="213"/>
      <c r="BH252" s="213"/>
      <c r="BI252" s="213"/>
      <c r="BJ252" s="213"/>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row>
    <row r="253" spans="1:243" ht="15.6">
      <c r="A253" s="170">
        <f>A252+1</f>
        <v>154</v>
      </c>
      <c r="B253" s="327">
        <f>B245</f>
        <v>346</v>
      </c>
      <c r="C253" s="908"/>
      <c r="D253" s="603">
        <f t="shared" si="53"/>
        <v>0</v>
      </c>
      <c r="E253" s="603">
        <f t="shared" si="53"/>
        <v>0</v>
      </c>
      <c r="F253" s="603">
        <f t="shared" si="53"/>
        <v>0</v>
      </c>
      <c r="G253" s="603">
        <f t="shared" si="53"/>
        <v>0</v>
      </c>
      <c r="H253" s="603">
        <f t="shared" si="53"/>
        <v>0</v>
      </c>
      <c r="I253" s="603">
        <f t="shared" si="53"/>
        <v>0</v>
      </c>
      <c r="J253" s="603">
        <f t="shared" si="53"/>
        <v>0</v>
      </c>
      <c r="K253" s="603">
        <f t="shared" si="53"/>
        <v>0</v>
      </c>
      <c r="L253" s="603">
        <f t="shared" si="53"/>
        <v>0</v>
      </c>
      <c r="M253" s="603">
        <f t="shared" si="53"/>
        <v>0</v>
      </c>
      <c r="N253" s="603">
        <f t="shared" si="53"/>
        <v>0</v>
      </c>
      <c r="O253" s="603">
        <f t="shared" si="53"/>
        <v>0</v>
      </c>
      <c r="P253" s="333">
        <f>SUM(D253:O253)</f>
        <v>0</v>
      </c>
      <c r="S253" s="277"/>
      <c r="T253" s="277"/>
      <c r="U253" s="277"/>
      <c r="V253" s="277"/>
      <c r="W253" s="277"/>
      <c r="X253" s="277"/>
      <c r="Y253" s="277"/>
      <c r="Z253" s="277"/>
      <c r="AA253" s="277"/>
      <c r="AB253" s="277"/>
      <c r="AC253" s="277"/>
      <c r="AD253" s="277"/>
      <c r="AE253" s="277"/>
      <c r="AF253" s="277"/>
      <c r="AG253" s="277"/>
      <c r="AH253" s="277"/>
      <c r="AI253" s="277"/>
      <c r="AJ253" s="216"/>
      <c r="AK253" s="304"/>
      <c r="AL253" s="303"/>
      <c r="AM253" s="216"/>
      <c r="AN253" s="304"/>
      <c r="AO253" s="277"/>
      <c r="AP253" s="303"/>
      <c r="AQ253" s="303"/>
      <c r="AR253" s="304"/>
      <c r="AS253" s="303"/>
      <c r="AT253" s="303"/>
      <c r="AU253" s="303"/>
      <c r="AV253" s="303"/>
      <c r="AW253" s="213"/>
      <c r="AX253" s="213"/>
      <c r="AY253" s="213"/>
      <c r="AZ253" s="213"/>
      <c r="BA253" s="213"/>
      <c r="BB253" s="213"/>
      <c r="BC253" s="213"/>
      <c r="BD253" s="213"/>
      <c r="BE253" s="213"/>
      <c r="BF253" s="213"/>
      <c r="BG253" s="213"/>
      <c r="BH253" s="213"/>
      <c r="BI253" s="213"/>
      <c r="BJ253" s="21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row>
    <row r="254" spans="1:243" ht="15.6">
      <c r="A254" s="355"/>
      <c r="B254" s="287"/>
      <c r="C254" s="287"/>
      <c r="D254" s="287"/>
      <c r="E254" s="287"/>
      <c r="F254" s="287"/>
      <c r="G254" s="287"/>
      <c r="H254" s="287"/>
      <c r="I254" s="287"/>
      <c r="J254" s="287"/>
      <c r="K254" s="334"/>
      <c r="L254" s="287"/>
      <c r="M254" s="287"/>
      <c r="N254" s="287"/>
      <c r="O254" s="287"/>
      <c r="P254" s="339"/>
      <c r="S254" s="277"/>
      <c r="T254" s="277"/>
      <c r="U254" s="277"/>
      <c r="V254" s="277"/>
      <c r="W254" s="277"/>
      <c r="X254" s="277"/>
      <c r="Y254" s="277"/>
      <c r="Z254" s="277"/>
      <c r="AA254" s="277"/>
      <c r="AB254" s="277"/>
      <c r="AC254" s="277"/>
      <c r="AD254" s="277"/>
      <c r="AE254" s="277"/>
      <c r="AF254" s="277"/>
      <c r="AG254" s="277"/>
      <c r="AH254" s="277"/>
      <c r="AI254" s="277"/>
      <c r="AJ254" s="216"/>
      <c r="AK254" s="304"/>
      <c r="AL254" s="303"/>
      <c r="AM254" s="216"/>
      <c r="AN254" s="304"/>
      <c r="AO254" s="277"/>
      <c r="AP254" s="303"/>
      <c r="AQ254" s="303"/>
      <c r="AR254" s="304"/>
      <c r="AS254" s="303"/>
      <c r="AT254" s="303"/>
      <c r="AU254" s="303"/>
      <c r="AV254" s="303"/>
      <c r="AW254" s="213"/>
      <c r="AX254" s="213"/>
      <c r="AY254" s="213"/>
      <c r="AZ254" s="213"/>
      <c r="BA254" s="213"/>
      <c r="BB254" s="213"/>
      <c r="BC254" s="213"/>
      <c r="BD254" s="213"/>
      <c r="BE254" s="213"/>
      <c r="BF254" s="213"/>
      <c r="BG254" s="213"/>
      <c r="BH254" s="213"/>
      <c r="BI254" s="213"/>
      <c r="BJ254" s="213"/>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row>
    <row r="255" spans="1:243" ht="18.600000000000001">
      <c r="A255" s="355"/>
      <c r="B255" s="355" t="s">
        <v>1078</v>
      </c>
      <c r="C255" s="334" t="s">
        <v>730</v>
      </c>
      <c r="D255" s="1778" t="s">
        <v>731</v>
      </c>
      <c r="E255" s="1779"/>
      <c r="F255" s="1779"/>
      <c r="G255" s="1779"/>
      <c r="H255" s="1779"/>
      <c r="I255" s="1779"/>
      <c r="J255" s="1779"/>
      <c r="K255" s="1779"/>
      <c r="L255" s="1779"/>
      <c r="M255" s="1779"/>
      <c r="N255" s="1779"/>
      <c r="O255" s="1779"/>
      <c r="P255" s="1779"/>
      <c r="S255" s="277"/>
      <c r="T255" s="277"/>
      <c r="U255" s="277"/>
      <c r="V255" s="277"/>
      <c r="W255" s="277"/>
      <c r="X255" s="277"/>
      <c r="Y255" s="277"/>
      <c r="Z255" s="277"/>
      <c r="AA255" s="277"/>
      <c r="AB255" s="277"/>
      <c r="AC255" s="277"/>
      <c r="AD255" s="277"/>
      <c r="AE255" s="277"/>
      <c r="AF255" s="277"/>
      <c r="AG255" s="277"/>
      <c r="AH255" s="277"/>
      <c r="AI255" s="277"/>
      <c r="AJ255" s="216"/>
      <c r="AK255" s="304"/>
      <c r="AL255" s="303"/>
      <c r="AM255" s="216"/>
      <c r="AN255" s="304"/>
      <c r="AO255" s="277"/>
      <c r="AP255" s="303"/>
      <c r="AQ255" s="303"/>
      <c r="AR255" s="304"/>
      <c r="AS255" s="303"/>
      <c r="AT255" s="303"/>
      <c r="AU255" s="303"/>
      <c r="AV255" s="303"/>
      <c r="AW255" s="213"/>
      <c r="AX255" s="213"/>
      <c r="AY255" s="213"/>
      <c r="AZ255" s="213"/>
      <c r="BA255" s="213"/>
      <c r="BB255" s="213"/>
      <c r="BC255" s="213"/>
      <c r="BD255" s="213"/>
      <c r="BE255" s="213"/>
      <c r="BF255" s="213"/>
      <c r="BG255" s="213"/>
      <c r="BH255" s="213"/>
      <c r="BI255" s="213"/>
      <c r="BJ255" s="213"/>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row>
    <row r="256" spans="1:243" ht="18.600000000000001">
      <c r="A256" s="355"/>
      <c r="B256" s="322" t="s">
        <v>928</v>
      </c>
      <c r="C256" s="335" t="s">
        <v>732</v>
      </c>
      <c r="D256" s="358" t="s">
        <v>716</v>
      </c>
      <c r="E256" s="358" t="s">
        <v>717</v>
      </c>
      <c r="F256" s="358" t="s">
        <v>718</v>
      </c>
      <c r="G256" s="358" t="s">
        <v>719</v>
      </c>
      <c r="H256" s="358" t="s">
        <v>720</v>
      </c>
      <c r="I256" s="358" t="s">
        <v>721</v>
      </c>
      <c r="J256" s="358" t="s">
        <v>722</v>
      </c>
      <c r="K256" s="358" t="s">
        <v>723</v>
      </c>
      <c r="L256" s="358" t="s">
        <v>724</v>
      </c>
      <c r="M256" s="358" t="s">
        <v>725</v>
      </c>
      <c r="N256" s="358" t="s">
        <v>726</v>
      </c>
      <c r="O256" s="358" t="s">
        <v>715</v>
      </c>
      <c r="P256" s="360" t="s">
        <v>628</v>
      </c>
      <c r="S256" s="277"/>
      <c r="T256" s="277"/>
      <c r="U256" s="277"/>
      <c r="V256" s="277"/>
      <c r="W256" s="277"/>
      <c r="X256" s="277"/>
      <c r="Y256" s="277"/>
      <c r="Z256" s="277"/>
      <c r="AA256" s="277"/>
      <c r="AB256" s="277"/>
      <c r="AC256" s="277"/>
      <c r="AD256" s="277"/>
      <c r="AE256" s="277"/>
      <c r="AF256" s="277"/>
      <c r="AG256" s="277"/>
      <c r="AH256" s="277"/>
      <c r="AI256" s="277"/>
      <c r="AJ256" s="216"/>
      <c r="AK256" s="304"/>
      <c r="AL256" s="303"/>
      <c r="AM256" s="216"/>
      <c r="AN256" s="304"/>
      <c r="AO256" s="277"/>
      <c r="AP256" s="303"/>
      <c r="AQ256" s="303"/>
      <c r="AR256" s="304"/>
      <c r="AS256" s="303"/>
      <c r="AT256" s="303"/>
      <c r="AU256" s="303"/>
      <c r="AV256" s="303"/>
      <c r="AW256" s="213"/>
      <c r="AX256" s="213"/>
      <c r="AY256" s="213"/>
      <c r="AZ256" s="213"/>
      <c r="BA256" s="213"/>
      <c r="BB256" s="213"/>
      <c r="BC256" s="213"/>
      <c r="BD256" s="213"/>
      <c r="BE256" s="213"/>
      <c r="BF256" s="213"/>
      <c r="BG256" s="213"/>
      <c r="BH256" s="213"/>
      <c r="BI256" s="213"/>
      <c r="BJ256" s="213"/>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row>
    <row r="257" spans="1:243" ht="15.6">
      <c r="A257" s="170">
        <f>A253+1</f>
        <v>155</v>
      </c>
      <c r="B257" s="327">
        <f>B241</f>
        <v>341</v>
      </c>
      <c r="C257" s="907">
        <v>0</v>
      </c>
      <c r="D257" s="603">
        <f>C257+D249</f>
        <v>0</v>
      </c>
      <c r="E257" s="603">
        <f t="shared" ref="E257:O257" si="54">D257+E249</f>
        <v>0</v>
      </c>
      <c r="F257" s="603">
        <f t="shared" si="54"/>
        <v>0</v>
      </c>
      <c r="G257" s="603">
        <f t="shared" si="54"/>
        <v>0</v>
      </c>
      <c r="H257" s="603">
        <f t="shared" si="54"/>
        <v>0</v>
      </c>
      <c r="I257" s="603">
        <f t="shared" si="54"/>
        <v>0</v>
      </c>
      <c r="J257" s="603">
        <f t="shared" si="54"/>
        <v>0</v>
      </c>
      <c r="K257" s="603">
        <f t="shared" si="54"/>
        <v>0</v>
      </c>
      <c r="L257" s="603">
        <f t="shared" si="54"/>
        <v>0</v>
      </c>
      <c r="M257" s="603">
        <f t="shared" si="54"/>
        <v>0</v>
      </c>
      <c r="N257" s="603">
        <f t="shared" si="54"/>
        <v>0</v>
      </c>
      <c r="O257" s="603">
        <f t="shared" si="54"/>
        <v>0</v>
      </c>
      <c r="P257" s="333">
        <f>O257</f>
        <v>0</v>
      </c>
      <c r="S257" s="277"/>
      <c r="T257" s="277"/>
      <c r="U257" s="277"/>
      <c r="V257" s="277"/>
      <c r="W257" s="277"/>
      <c r="X257" s="277"/>
      <c r="Y257" s="277"/>
      <c r="Z257" s="277"/>
      <c r="AA257" s="277"/>
      <c r="AB257" s="277"/>
      <c r="AC257" s="277"/>
      <c r="AD257" s="277"/>
      <c r="AE257" s="277"/>
      <c r="AF257" s="277"/>
      <c r="AG257" s="277"/>
      <c r="AH257" s="277"/>
      <c r="AI257" s="277"/>
      <c r="AJ257" s="216"/>
      <c r="AK257" s="304"/>
      <c r="AL257" s="303"/>
      <c r="AM257" s="216"/>
      <c r="AN257" s="304"/>
      <c r="AO257" s="277"/>
      <c r="AP257" s="303"/>
      <c r="AQ257" s="303"/>
      <c r="AR257" s="304"/>
      <c r="AS257" s="303"/>
      <c r="AT257" s="303"/>
      <c r="AU257" s="303"/>
      <c r="AV257" s="303"/>
      <c r="AW257" s="213"/>
      <c r="AX257" s="213"/>
      <c r="AY257" s="213"/>
      <c r="AZ257" s="213"/>
      <c r="BA257" s="213"/>
      <c r="BB257" s="213"/>
      <c r="BC257" s="213"/>
      <c r="BD257" s="213"/>
      <c r="BE257" s="213"/>
      <c r="BF257" s="213"/>
      <c r="BG257" s="213"/>
      <c r="BH257" s="213"/>
      <c r="BI257" s="213"/>
      <c r="BJ257" s="213"/>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row>
    <row r="258" spans="1:243" ht="15.6">
      <c r="A258" s="170">
        <f>A257+1</f>
        <v>156</v>
      </c>
      <c r="B258" s="327">
        <f>B242</f>
        <v>342</v>
      </c>
      <c r="C258" s="907">
        <v>0</v>
      </c>
      <c r="D258" s="603">
        <f t="shared" ref="D258:O261" si="55">C258+D250</f>
        <v>0</v>
      </c>
      <c r="E258" s="603">
        <f t="shared" si="55"/>
        <v>0</v>
      </c>
      <c r="F258" s="603">
        <f t="shared" si="55"/>
        <v>0</v>
      </c>
      <c r="G258" s="603">
        <f t="shared" si="55"/>
        <v>0</v>
      </c>
      <c r="H258" s="603">
        <f t="shared" si="55"/>
        <v>0</v>
      </c>
      <c r="I258" s="603">
        <f t="shared" si="55"/>
        <v>0</v>
      </c>
      <c r="J258" s="603">
        <f t="shared" si="55"/>
        <v>0</v>
      </c>
      <c r="K258" s="603">
        <f t="shared" si="55"/>
        <v>0</v>
      </c>
      <c r="L258" s="603">
        <f t="shared" si="55"/>
        <v>0</v>
      </c>
      <c r="M258" s="603">
        <f t="shared" si="55"/>
        <v>0</v>
      </c>
      <c r="N258" s="603">
        <f t="shared" si="55"/>
        <v>0</v>
      </c>
      <c r="O258" s="603">
        <f t="shared" si="55"/>
        <v>0</v>
      </c>
      <c r="P258" s="333">
        <f>O258</f>
        <v>0</v>
      </c>
      <c r="S258" s="277"/>
      <c r="T258" s="277"/>
      <c r="U258" s="277"/>
      <c r="V258" s="277"/>
      <c r="W258" s="277"/>
      <c r="X258" s="277"/>
      <c r="Y258" s="277"/>
      <c r="Z258" s="277"/>
      <c r="AA258" s="277"/>
      <c r="AB258" s="277"/>
      <c r="AC258" s="277"/>
      <c r="AD258" s="277"/>
      <c r="AE258" s="277"/>
      <c r="AF258" s="277"/>
      <c r="AG258" s="277"/>
      <c r="AH258" s="277"/>
      <c r="AI258" s="277"/>
      <c r="AJ258" s="216"/>
      <c r="AK258" s="304"/>
      <c r="AL258" s="303"/>
      <c r="AM258" s="216"/>
      <c r="AN258" s="304"/>
      <c r="AO258" s="277"/>
      <c r="AP258" s="303"/>
      <c r="AQ258" s="303"/>
      <c r="AR258" s="304"/>
      <c r="AS258" s="303"/>
      <c r="AT258" s="303"/>
      <c r="AU258" s="303"/>
      <c r="AV258" s="303"/>
      <c r="AW258" s="213"/>
      <c r="AX258" s="213"/>
      <c r="AY258" s="213"/>
      <c r="AZ258" s="213"/>
      <c r="BA258" s="213"/>
      <c r="BB258" s="213"/>
      <c r="BC258" s="213"/>
      <c r="BD258" s="213"/>
      <c r="BE258" s="213"/>
      <c r="BF258" s="213"/>
      <c r="BG258" s="213"/>
      <c r="BH258" s="213"/>
      <c r="BI258" s="213"/>
      <c r="BJ258" s="213"/>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row>
    <row r="259" spans="1:243" ht="15.6">
      <c r="A259" s="170">
        <f>A258+1</f>
        <v>157</v>
      </c>
      <c r="B259" s="327">
        <f>B243</f>
        <v>344</v>
      </c>
      <c r="C259" s="907">
        <v>0</v>
      </c>
      <c r="D259" s="603">
        <f t="shared" si="55"/>
        <v>0</v>
      </c>
      <c r="E259" s="603">
        <f t="shared" si="55"/>
        <v>0</v>
      </c>
      <c r="F259" s="603">
        <f t="shared" si="55"/>
        <v>0</v>
      </c>
      <c r="G259" s="603">
        <f t="shared" si="55"/>
        <v>0</v>
      </c>
      <c r="H259" s="603">
        <f t="shared" si="55"/>
        <v>0</v>
      </c>
      <c r="I259" s="603">
        <f t="shared" si="55"/>
        <v>0</v>
      </c>
      <c r="J259" s="603">
        <f t="shared" si="55"/>
        <v>0</v>
      </c>
      <c r="K259" s="603">
        <f t="shared" si="55"/>
        <v>0</v>
      </c>
      <c r="L259" s="603">
        <f t="shared" si="55"/>
        <v>0</v>
      </c>
      <c r="M259" s="603">
        <f t="shared" si="55"/>
        <v>0</v>
      </c>
      <c r="N259" s="603">
        <f t="shared" si="55"/>
        <v>0</v>
      </c>
      <c r="O259" s="603">
        <f t="shared" si="55"/>
        <v>0</v>
      </c>
      <c r="P259" s="333">
        <f>O259</f>
        <v>0</v>
      </c>
      <c r="S259" s="277"/>
      <c r="T259" s="277"/>
      <c r="U259" s="277"/>
      <c r="V259" s="277"/>
      <c r="W259" s="277"/>
      <c r="X259" s="277"/>
      <c r="Y259" s="277"/>
      <c r="Z259" s="277"/>
      <c r="AA259" s="277"/>
      <c r="AB259" s="277"/>
      <c r="AC259" s="277"/>
      <c r="AD259" s="277"/>
      <c r="AE259" s="277"/>
      <c r="AF259" s="277"/>
      <c r="AG259" s="277"/>
      <c r="AH259" s="277"/>
      <c r="AI259" s="277"/>
      <c r="AJ259" s="216"/>
      <c r="AK259" s="304"/>
      <c r="AL259" s="303"/>
      <c r="AM259" s="216"/>
      <c r="AN259" s="304"/>
      <c r="AO259" s="277"/>
      <c r="AP259" s="303"/>
      <c r="AQ259" s="303"/>
      <c r="AR259" s="304"/>
      <c r="AS259" s="303"/>
      <c r="AT259" s="303"/>
      <c r="AU259" s="303"/>
      <c r="AV259" s="303"/>
      <c r="AW259" s="213"/>
      <c r="AX259" s="213"/>
      <c r="AY259" s="213"/>
      <c r="AZ259" s="213"/>
      <c r="BA259" s="213"/>
      <c r="BB259" s="213"/>
      <c r="BC259" s="213"/>
      <c r="BD259" s="213"/>
      <c r="BE259" s="213"/>
      <c r="BF259" s="213"/>
      <c r="BG259" s="213"/>
      <c r="BH259" s="213"/>
      <c r="BI259" s="213"/>
      <c r="BJ259" s="213"/>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row>
    <row r="260" spans="1:243" ht="15.6">
      <c r="A260" s="170">
        <f>A259+1</f>
        <v>158</v>
      </c>
      <c r="B260" s="327">
        <f>B244</f>
        <v>345</v>
      </c>
      <c r="C260" s="907">
        <v>0</v>
      </c>
      <c r="D260" s="603">
        <f t="shared" si="55"/>
        <v>0</v>
      </c>
      <c r="E260" s="603">
        <f t="shared" si="55"/>
        <v>0</v>
      </c>
      <c r="F260" s="603">
        <f t="shared" si="55"/>
        <v>0</v>
      </c>
      <c r="G260" s="603">
        <f t="shared" si="55"/>
        <v>0</v>
      </c>
      <c r="H260" s="603">
        <f t="shared" si="55"/>
        <v>0</v>
      </c>
      <c r="I260" s="603">
        <f t="shared" si="55"/>
        <v>0</v>
      </c>
      <c r="J260" s="603">
        <f t="shared" si="55"/>
        <v>0</v>
      </c>
      <c r="K260" s="603">
        <f t="shared" si="55"/>
        <v>0</v>
      </c>
      <c r="L260" s="603">
        <f t="shared" si="55"/>
        <v>0</v>
      </c>
      <c r="M260" s="603">
        <f t="shared" si="55"/>
        <v>0</v>
      </c>
      <c r="N260" s="603">
        <f t="shared" si="55"/>
        <v>0</v>
      </c>
      <c r="O260" s="603">
        <f t="shared" si="55"/>
        <v>0</v>
      </c>
      <c r="P260" s="333">
        <f>O260</f>
        <v>0</v>
      </c>
      <c r="S260" s="277"/>
      <c r="T260" s="277"/>
      <c r="U260" s="277"/>
      <c r="V260" s="277"/>
      <c r="W260" s="277"/>
      <c r="X260" s="277"/>
      <c r="Y260" s="277"/>
      <c r="Z260" s="277"/>
      <c r="AA260" s="277"/>
      <c r="AB260" s="277"/>
      <c r="AC260" s="277"/>
      <c r="AD260" s="277"/>
      <c r="AE260" s="277"/>
      <c r="AF260" s="277"/>
      <c r="AG260" s="277"/>
      <c r="AH260" s="277"/>
      <c r="AI260" s="277"/>
      <c r="AJ260" s="216"/>
      <c r="AK260" s="304"/>
      <c r="AL260" s="303"/>
      <c r="AM260" s="216"/>
      <c r="AN260" s="304"/>
      <c r="AO260" s="277"/>
      <c r="AP260" s="303"/>
      <c r="AQ260" s="303"/>
      <c r="AR260" s="304"/>
      <c r="AS260" s="303"/>
      <c r="AT260" s="303"/>
      <c r="AU260" s="303"/>
      <c r="AV260" s="303"/>
      <c r="AW260" s="213"/>
      <c r="AX260" s="213"/>
      <c r="AY260" s="213"/>
      <c r="AZ260" s="213"/>
      <c r="BA260" s="213"/>
      <c r="BB260" s="213"/>
      <c r="BC260" s="213"/>
      <c r="BD260" s="213"/>
      <c r="BE260" s="213"/>
      <c r="BF260" s="213"/>
      <c r="BG260" s="213"/>
      <c r="BH260" s="213"/>
      <c r="BI260" s="213"/>
      <c r="BJ260" s="213"/>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row>
    <row r="261" spans="1:243" ht="15.6">
      <c r="A261" s="170">
        <f>A260+1</f>
        <v>159</v>
      </c>
      <c r="B261" s="327">
        <f>B245</f>
        <v>346</v>
      </c>
      <c r="C261" s="907">
        <v>0</v>
      </c>
      <c r="D261" s="603">
        <f t="shared" si="55"/>
        <v>0</v>
      </c>
      <c r="E261" s="603">
        <f t="shared" si="55"/>
        <v>0</v>
      </c>
      <c r="F261" s="603">
        <f t="shared" si="55"/>
        <v>0</v>
      </c>
      <c r="G261" s="603">
        <f t="shared" si="55"/>
        <v>0</v>
      </c>
      <c r="H261" s="603">
        <f t="shared" si="55"/>
        <v>0</v>
      </c>
      <c r="I261" s="603">
        <f t="shared" si="55"/>
        <v>0</v>
      </c>
      <c r="J261" s="603">
        <f t="shared" si="55"/>
        <v>0</v>
      </c>
      <c r="K261" s="603">
        <f t="shared" si="55"/>
        <v>0</v>
      </c>
      <c r="L261" s="603">
        <f t="shared" si="55"/>
        <v>0</v>
      </c>
      <c r="M261" s="603">
        <f t="shared" si="55"/>
        <v>0</v>
      </c>
      <c r="N261" s="603">
        <f t="shared" si="55"/>
        <v>0</v>
      </c>
      <c r="O261" s="603">
        <f t="shared" si="55"/>
        <v>0</v>
      </c>
      <c r="P261" s="333">
        <f>O261</f>
        <v>0</v>
      </c>
      <c r="S261" s="277"/>
      <c r="T261" s="277"/>
      <c r="U261" s="277"/>
      <c r="V261" s="277"/>
      <c r="W261" s="277"/>
      <c r="X261" s="277"/>
      <c r="Y261" s="277"/>
      <c r="Z261" s="277"/>
      <c r="AA261" s="277"/>
      <c r="AB261" s="277"/>
      <c r="AC261" s="277"/>
      <c r="AD261" s="277"/>
      <c r="AE261" s="277"/>
      <c r="AF261" s="277"/>
      <c r="AG261" s="277"/>
      <c r="AH261" s="277"/>
      <c r="AI261" s="277"/>
      <c r="AJ261" s="216"/>
      <c r="AK261" s="304"/>
      <c r="AL261" s="303"/>
      <c r="AM261" s="216"/>
      <c r="AN261" s="304"/>
      <c r="AO261" s="277"/>
      <c r="AP261" s="303"/>
      <c r="AQ261" s="303"/>
      <c r="AR261" s="304"/>
      <c r="AS261" s="303"/>
      <c r="AT261" s="303"/>
      <c r="AU261" s="303"/>
      <c r="AV261" s="303"/>
      <c r="AW261" s="213"/>
      <c r="AX261" s="213"/>
      <c r="AY261" s="213"/>
      <c r="AZ261" s="213"/>
      <c r="BA261" s="213"/>
      <c r="BB261" s="213"/>
      <c r="BC261" s="213"/>
      <c r="BD261" s="213"/>
      <c r="BE261" s="213"/>
      <c r="BF261" s="213"/>
      <c r="BG261" s="213"/>
      <c r="BH261" s="213"/>
      <c r="BI261" s="213"/>
      <c r="BJ261" s="213"/>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row>
    <row r="262" spans="1:243" ht="15.6">
      <c r="A262" s="355"/>
      <c r="B262" s="327"/>
      <c r="C262" s="287"/>
      <c r="D262" s="287"/>
      <c r="E262" s="287"/>
      <c r="F262" s="287"/>
      <c r="G262" s="287"/>
      <c r="H262" s="287"/>
      <c r="I262" s="287"/>
      <c r="J262" s="287"/>
      <c r="K262" s="334"/>
      <c r="L262" s="287"/>
      <c r="M262" s="287"/>
      <c r="N262" s="287"/>
      <c r="O262" s="287"/>
      <c r="P262" s="339"/>
      <c r="S262" s="277"/>
      <c r="T262" s="277"/>
      <c r="U262" s="277"/>
      <c r="V262" s="277"/>
      <c r="W262" s="277"/>
      <c r="X262" s="277"/>
      <c r="Y262" s="277"/>
      <c r="Z262" s="277"/>
      <c r="AA262" s="277"/>
      <c r="AB262" s="277"/>
      <c r="AC262" s="277"/>
      <c r="AD262" s="277"/>
      <c r="AE262" s="277"/>
      <c r="AF262" s="277"/>
      <c r="AG262" s="277"/>
      <c r="AH262" s="277"/>
      <c r="AI262" s="277"/>
      <c r="AJ262" s="216"/>
      <c r="AK262" s="304"/>
      <c r="AL262" s="303"/>
      <c r="AM262" s="216"/>
      <c r="AN262" s="304"/>
      <c r="AO262" s="277"/>
      <c r="AP262" s="303"/>
      <c r="AQ262" s="303"/>
      <c r="AR262" s="304"/>
      <c r="AS262" s="303"/>
      <c r="AT262" s="303"/>
      <c r="AU262" s="303"/>
      <c r="AV262" s="303"/>
      <c r="AW262" s="213"/>
      <c r="AX262" s="213"/>
      <c r="AY262" s="213"/>
      <c r="AZ262" s="213"/>
      <c r="BA262" s="213"/>
      <c r="BB262" s="213"/>
      <c r="BC262" s="213"/>
      <c r="BD262" s="213"/>
      <c r="BE262" s="213"/>
      <c r="BF262" s="213"/>
      <c r="BG262" s="213"/>
      <c r="BH262" s="213"/>
      <c r="BI262" s="213"/>
      <c r="BJ262" s="213"/>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row>
    <row r="263" spans="1:243" ht="15.6">
      <c r="A263" s="336" t="s">
        <v>713</v>
      </c>
      <c r="B263" s="342"/>
      <c r="C263" s="341" t="s">
        <v>476</v>
      </c>
      <c r="D263" s="287"/>
      <c r="E263" s="287"/>
      <c r="F263" s="287"/>
      <c r="G263" s="287"/>
      <c r="H263" s="287"/>
      <c r="I263" s="287"/>
      <c r="J263" s="287"/>
      <c r="K263" s="334"/>
      <c r="L263" s="287"/>
      <c r="M263" s="287"/>
      <c r="N263" s="287"/>
      <c r="O263" s="287"/>
      <c r="P263" s="339"/>
      <c r="S263" s="277"/>
      <c r="T263" s="277"/>
      <c r="U263" s="277"/>
      <c r="V263" s="277"/>
      <c r="W263" s="277"/>
      <c r="X263" s="277"/>
      <c r="Y263" s="277"/>
      <c r="Z263" s="277"/>
      <c r="AA263" s="277"/>
      <c r="AB263" s="277"/>
      <c r="AC263" s="277"/>
      <c r="AD263" s="277"/>
      <c r="AE263" s="277"/>
      <c r="AF263" s="277"/>
      <c r="AG263" s="277"/>
      <c r="AH263" s="277"/>
      <c r="AI263" s="277"/>
      <c r="AJ263" s="216"/>
      <c r="AK263" s="304"/>
      <c r="AL263" s="303"/>
      <c r="AM263" s="216"/>
      <c r="AN263" s="304"/>
      <c r="AO263" s="277"/>
      <c r="AP263" s="303"/>
      <c r="AQ263" s="303"/>
      <c r="AR263" s="304"/>
      <c r="AS263" s="303"/>
      <c r="AT263" s="303"/>
      <c r="AU263" s="303"/>
      <c r="AV263" s="303"/>
      <c r="AW263" s="213"/>
      <c r="AX263" s="213"/>
      <c r="AY263" s="213"/>
      <c r="AZ263" s="213"/>
      <c r="BA263" s="213"/>
      <c r="BB263" s="213"/>
      <c r="BC263" s="213"/>
      <c r="BD263" s="213"/>
      <c r="BE263" s="213"/>
      <c r="BF263" s="213"/>
      <c r="BG263" s="213"/>
      <c r="BH263" s="213"/>
      <c r="BI263" s="213"/>
      <c r="BJ263" s="21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row>
    <row r="264" spans="1:243" ht="15.6">
      <c r="A264" s="355"/>
      <c r="B264" s="356"/>
      <c r="C264" s="287"/>
      <c r="D264" s="287"/>
      <c r="E264" s="287"/>
      <c r="F264" s="287"/>
      <c r="G264" s="287"/>
      <c r="H264" s="287"/>
      <c r="I264" s="287"/>
      <c r="J264" s="287"/>
      <c r="K264" s="334"/>
      <c r="L264" s="287"/>
      <c r="M264" s="287"/>
      <c r="N264" s="287"/>
      <c r="O264" s="287"/>
      <c r="P264" s="339"/>
      <c r="S264" s="277"/>
      <c r="T264" s="277"/>
      <c r="U264" s="277"/>
      <c r="V264" s="277"/>
      <c r="W264" s="277"/>
      <c r="X264" s="277"/>
      <c r="Y264" s="277"/>
      <c r="Z264" s="277"/>
      <c r="AA264" s="277"/>
      <c r="AB264" s="277"/>
      <c r="AC264" s="277"/>
      <c r="AD264" s="277"/>
      <c r="AE264" s="277"/>
      <c r="AF264" s="277"/>
      <c r="AG264" s="277"/>
      <c r="AH264" s="277"/>
      <c r="AI264" s="277"/>
      <c r="AJ264" s="216"/>
      <c r="AK264" s="304"/>
      <c r="AL264" s="303"/>
      <c r="AM264" s="216"/>
      <c r="AN264" s="304"/>
      <c r="AO264" s="277"/>
      <c r="AP264" s="303"/>
      <c r="AQ264" s="303"/>
      <c r="AR264" s="304"/>
      <c r="AS264" s="303"/>
      <c r="AT264" s="303"/>
      <c r="AU264" s="303"/>
      <c r="AV264" s="303"/>
      <c r="AW264" s="213"/>
      <c r="AX264" s="213"/>
      <c r="AY264" s="213"/>
      <c r="AZ264" s="213"/>
      <c r="BA264" s="213"/>
      <c r="BB264" s="213"/>
      <c r="BC264" s="213"/>
      <c r="BD264" s="213"/>
      <c r="BE264" s="213"/>
      <c r="BF264" s="213"/>
      <c r="BG264" s="213"/>
      <c r="BH264" s="213"/>
      <c r="BI264" s="213"/>
      <c r="BJ264" s="213"/>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row>
    <row r="265" spans="1:243" ht="18.600000000000001">
      <c r="A265" s="355" t="s">
        <v>494</v>
      </c>
      <c r="B265" s="355" t="s">
        <v>1078</v>
      </c>
      <c r="C265" s="334"/>
      <c r="D265" s="1778" t="s">
        <v>714</v>
      </c>
      <c r="E265" s="1779"/>
      <c r="F265" s="1779"/>
      <c r="G265" s="1779"/>
      <c r="H265" s="1779"/>
      <c r="I265" s="1779"/>
      <c r="J265" s="1779"/>
      <c r="K265" s="1779"/>
      <c r="L265" s="1779"/>
      <c r="M265" s="1779"/>
      <c r="N265" s="1779"/>
      <c r="O265" s="1779"/>
      <c r="P265" s="357"/>
      <c r="S265" s="277"/>
      <c r="T265" s="277"/>
      <c r="U265" s="277"/>
      <c r="V265" s="277"/>
      <c r="W265" s="277"/>
      <c r="X265" s="277"/>
      <c r="Y265" s="277"/>
      <c r="Z265" s="277"/>
      <c r="AA265" s="277"/>
      <c r="AB265" s="277"/>
      <c r="AC265" s="277"/>
      <c r="AD265" s="277"/>
      <c r="AE265" s="277"/>
      <c r="AF265" s="277"/>
      <c r="AG265" s="277"/>
      <c r="AH265" s="277"/>
      <c r="AI265" s="277"/>
      <c r="AJ265" s="216"/>
      <c r="AK265" s="304"/>
      <c r="AL265" s="303"/>
      <c r="AM265" s="216"/>
      <c r="AN265" s="304"/>
      <c r="AO265" s="277"/>
      <c r="AP265" s="303"/>
      <c r="AQ265" s="303"/>
      <c r="AR265" s="304"/>
      <c r="AS265" s="303"/>
      <c r="AT265" s="303"/>
      <c r="AU265" s="303"/>
      <c r="AV265" s="303"/>
      <c r="AW265" s="213"/>
      <c r="AX265" s="213"/>
      <c r="AY265" s="213"/>
      <c r="AZ265" s="213"/>
      <c r="BA265" s="213"/>
      <c r="BB265" s="213"/>
      <c r="BC265" s="213"/>
      <c r="BD265" s="213"/>
      <c r="BE265" s="213"/>
      <c r="BF265" s="213"/>
      <c r="BG265" s="213"/>
      <c r="BH265" s="213"/>
      <c r="BI265" s="213"/>
      <c r="BJ265" s="213"/>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row>
    <row r="266" spans="1:243" ht="15.6">
      <c r="A266" s="322" t="s">
        <v>928</v>
      </c>
      <c r="B266" s="322" t="s">
        <v>928</v>
      </c>
      <c r="C266" s="335"/>
      <c r="D266" s="358" t="s">
        <v>715</v>
      </c>
      <c r="E266" s="358" t="s">
        <v>716</v>
      </c>
      <c r="F266" s="358" t="s">
        <v>717</v>
      </c>
      <c r="G266" s="358" t="s">
        <v>718</v>
      </c>
      <c r="H266" s="358" t="s">
        <v>719</v>
      </c>
      <c r="I266" s="358" t="s">
        <v>720</v>
      </c>
      <c r="J266" s="358" t="s">
        <v>721</v>
      </c>
      <c r="K266" s="358" t="s">
        <v>722</v>
      </c>
      <c r="L266" s="358" t="s">
        <v>723</v>
      </c>
      <c r="M266" s="358" t="s">
        <v>724</v>
      </c>
      <c r="N266" s="358" t="s">
        <v>725</v>
      </c>
      <c r="O266" s="358" t="s">
        <v>726</v>
      </c>
      <c r="P266" s="359"/>
      <c r="S266" s="277"/>
      <c r="T266" s="277"/>
      <c r="U266" s="277"/>
      <c r="V266" s="277"/>
      <c r="W266" s="277"/>
      <c r="X266" s="277"/>
      <c r="Y266" s="277"/>
      <c r="Z266" s="277"/>
      <c r="AA266" s="277"/>
      <c r="AB266" s="277"/>
      <c r="AC266" s="277"/>
      <c r="AD266" s="277"/>
      <c r="AE266" s="277"/>
      <c r="AF266" s="277"/>
      <c r="AG266" s="277"/>
      <c r="AH266" s="277"/>
      <c r="AI266" s="277"/>
      <c r="AJ266" s="216"/>
      <c r="AK266" s="304"/>
      <c r="AL266" s="303"/>
      <c r="AM266" s="216"/>
      <c r="AN266" s="304"/>
      <c r="AO266" s="277"/>
      <c r="AP266" s="303"/>
      <c r="AQ266" s="303"/>
      <c r="AR266" s="304"/>
      <c r="AS266" s="303"/>
      <c r="AT266" s="303"/>
      <c r="AU266" s="303"/>
      <c r="AV266" s="303"/>
      <c r="AW266" s="213"/>
      <c r="AX266" s="213"/>
      <c r="AY266" s="213"/>
      <c r="AZ266" s="213"/>
      <c r="BA266" s="213"/>
      <c r="BB266" s="213"/>
      <c r="BC266" s="213"/>
      <c r="BD266" s="213"/>
      <c r="BE266" s="213"/>
      <c r="BF266" s="213"/>
      <c r="BG266" s="213"/>
      <c r="BH266" s="213"/>
      <c r="BI266" s="213"/>
      <c r="BJ266" s="213"/>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row>
    <row r="267" spans="1:243" ht="15.6">
      <c r="A267" s="170">
        <f>A261+1</f>
        <v>160</v>
      </c>
      <c r="B267" s="327">
        <v>341</v>
      </c>
      <c r="C267" s="287"/>
      <c r="D267" s="905">
        <v>0</v>
      </c>
      <c r="E267" s="905">
        <v>0</v>
      </c>
      <c r="F267" s="905">
        <v>0</v>
      </c>
      <c r="G267" s="905">
        <v>0</v>
      </c>
      <c r="H267" s="905">
        <v>0</v>
      </c>
      <c r="I267" s="905">
        <v>0</v>
      </c>
      <c r="J267" s="905">
        <v>0</v>
      </c>
      <c r="K267" s="905">
        <v>0</v>
      </c>
      <c r="L267" s="905">
        <v>0</v>
      </c>
      <c r="M267" s="905">
        <v>0</v>
      </c>
      <c r="N267" s="905">
        <v>0</v>
      </c>
      <c r="O267" s="905">
        <v>0</v>
      </c>
      <c r="P267" s="339"/>
      <c r="S267" s="277"/>
      <c r="T267" s="277"/>
      <c r="U267" s="277"/>
      <c r="V267" s="277"/>
      <c r="W267" s="277"/>
      <c r="X267" s="277"/>
      <c r="Y267" s="277"/>
      <c r="Z267" s="277"/>
      <c r="AA267" s="277"/>
      <c r="AB267" s="277"/>
      <c r="AC267" s="277"/>
      <c r="AD267" s="277"/>
      <c r="AE267" s="277"/>
      <c r="AF267" s="277"/>
      <c r="AG267" s="277"/>
      <c r="AH267" s="277"/>
      <c r="AI267" s="277"/>
      <c r="AJ267" s="216"/>
      <c r="AK267" s="304"/>
      <c r="AL267" s="303"/>
      <c r="AM267" s="216"/>
      <c r="AN267" s="304"/>
      <c r="AO267" s="277"/>
      <c r="AP267" s="303"/>
      <c r="AQ267" s="303"/>
      <c r="AR267" s="304"/>
      <c r="AS267" s="303"/>
      <c r="AT267" s="303"/>
      <c r="AU267" s="303"/>
      <c r="AV267" s="303"/>
      <c r="AW267" s="213"/>
      <c r="AX267" s="213"/>
      <c r="AY267" s="213"/>
      <c r="AZ267" s="213"/>
      <c r="BA267" s="213"/>
      <c r="BB267" s="213"/>
      <c r="BC267" s="213"/>
      <c r="BD267" s="213"/>
      <c r="BE267" s="213"/>
      <c r="BF267" s="213"/>
      <c r="BG267" s="213"/>
      <c r="BH267" s="213"/>
      <c r="BI267" s="213"/>
      <c r="BJ267" s="213"/>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row>
    <row r="268" spans="1:243" ht="15.6">
      <c r="A268" s="170">
        <f>A267+1</f>
        <v>161</v>
      </c>
      <c r="B268" s="327">
        <v>342</v>
      </c>
      <c r="C268" s="287"/>
      <c r="D268" s="907">
        <v>0</v>
      </c>
      <c r="E268" s="907">
        <v>0</v>
      </c>
      <c r="F268" s="907">
        <v>0</v>
      </c>
      <c r="G268" s="907">
        <v>0</v>
      </c>
      <c r="H268" s="907">
        <v>0</v>
      </c>
      <c r="I268" s="907">
        <v>0</v>
      </c>
      <c r="J268" s="907">
        <v>0</v>
      </c>
      <c r="K268" s="907">
        <v>0</v>
      </c>
      <c r="L268" s="907">
        <v>0</v>
      </c>
      <c r="M268" s="907">
        <v>0</v>
      </c>
      <c r="N268" s="907">
        <v>0</v>
      </c>
      <c r="O268" s="907">
        <v>0</v>
      </c>
      <c r="P268" s="339"/>
      <c r="S268" s="277"/>
      <c r="T268" s="277"/>
      <c r="U268" s="277"/>
      <c r="V268" s="277"/>
      <c r="W268" s="277"/>
      <c r="X268" s="277"/>
      <c r="Y268" s="277"/>
      <c r="Z268" s="277"/>
      <c r="AA268" s="277"/>
      <c r="AB268" s="277"/>
      <c r="AC268" s="277"/>
      <c r="AD268" s="277"/>
      <c r="AE268" s="277"/>
      <c r="AF268" s="277"/>
      <c r="AG268" s="277"/>
      <c r="AH268" s="277"/>
      <c r="AI268" s="277"/>
      <c r="AJ268" s="216"/>
      <c r="AK268" s="304"/>
      <c r="AL268" s="303"/>
      <c r="AM268" s="216"/>
      <c r="AN268" s="304"/>
      <c r="AO268" s="277"/>
      <c r="AP268" s="303"/>
      <c r="AQ268" s="303"/>
      <c r="AR268" s="304"/>
      <c r="AS268" s="303"/>
      <c r="AT268" s="303"/>
      <c r="AU268" s="303"/>
      <c r="AV268" s="303"/>
      <c r="AW268" s="213"/>
      <c r="AX268" s="213"/>
      <c r="AY268" s="213"/>
      <c r="AZ268" s="213"/>
      <c r="BA268" s="213"/>
      <c r="BB268" s="213"/>
      <c r="BC268" s="213"/>
      <c r="BD268" s="213"/>
      <c r="BE268" s="213"/>
      <c r="BF268" s="213"/>
      <c r="BG268" s="213"/>
      <c r="BH268" s="213"/>
      <c r="BI268" s="213"/>
      <c r="BJ268" s="213"/>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row>
    <row r="269" spans="1:243" ht="15.6">
      <c r="A269" s="170">
        <f>A268+1</f>
        <v>162</v>
      </c>
      <c r="B269" s="327">
        <v>344</v>
      </c>
      <c r="C269" s="287"/>
      <c r="D269" s="907">
        <v>0</v>
      </c>
      <c r="E269" s="907">
        <v>0</v>
      </c>
      <c r="F269" s="907">
        <v>0</v>
      </c>
      <c r="G269" s="907">
        <v>0</v>
      </c>
      <c r="H269" s="907">
        <v>0</v>
      </c>
      <c r="I269" s="907">
        <v>0</v>
      </c>
      <c r="J269" s="907">
        <v>0</v>
      </c>
      <c r="K269" s="907">
        <v>0</v>
      </c>
      <c r="L269" s="907">
        <v>0</v>
      </c>
      <c r="M269" s="907">
        <v>0</v>
      </c>
      <c r="N269" s="907">
        <v>0</v>
      </c>
      <c r="O269" s="907">
        <v>0</v>
      </c>
      <c r="P269" s="339"/>
      <c r="S269" s="277"/>
      <c r="T269" s="277"/>
      <c r="U269" s="277"/>
      <c r="V269" s="277"/>
      <c r="W269" s="277"/>
      <c r="X269" s="277"/>
      <c r="Y269" s="277"/>
      <c r="Z269" s="277"/>
      <c r="AA269" s="277"/>
      <c r="AB269" s="277"/>
      <c r="AC269" s="277"/>
      <c r="AD269" s="277"/>
      <c r="AE269" s="277"/>
      <c r="AF269" s="277"/>
      <c r="AG269" s="277"/>
      <c r="AH269" s="277"/>
      <c r="AI269" s="277"/>
      <c r="AJ269" s="216"/>
      <c r="AK269" s="304"/>
      <c r="AL269" s="303"/>
      <c r="AM269" s="216"/>
      <c r="AN269" s="304"/>
      <c r="AO269" s="277"/>
      <c r="AP269" s="303"/>
      <c r="AQ269" s="303"/>
      <c r="AR269" s="304"/>
      <c r="AS269" s="303"/>
      <c r="AT269" s="303"/>
      <c r="AU269" s="303"/>
      <c r="AV269" s="303"/>
      <c r="AW269" s="213"/>
      <c r="AX269" s="213"/>
      <c r="AY269" s="213"/>
      <c r="AZ269" s="213"/>
      <c r="BA269" s="213"/>
      <c r="BB269" s="213"/>
      <c r="BC269" s="213"/>
      <c r="BD269" s="213"/>
      <c r="BE269" s="213"/>
      <c r="BF269" s="213"/>
      <c r="BG269" s="213"/>
      <c r="BH269" s="213"/>
      <c r="BI269" s="213"/>
      <c r="BJ269" s="213"/>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row>
    <row r="270" spans="1:243" ht="15.6">
      <c r="A270" s="170">
        <f>A269+1</f>
        <v>163</v>
      </c>
      <c r="B270" s="327">
        <v>345</v>
      </c>
      <c r="C270" s="287"/>
      <c r="D270" s="907">
        <v>0</v>
      </c>
      <c r="E270" s="907">
        <v>0</v>
      </c>
      <c r="F270" s="907">
        <v>0</v>
      </c>
      <c r="G270" s="907">
        <v>0</v>
      </c>
      <c r="H270" s="907">
        <v>0</v>
      </c>
      <c r="I270" s="907">
        <v>0</v>
      </c>
      <c r="J270" s="907">
        <v>0</v>
      </c>
      <c r="K270" s="907">
        <v>0</v>
      </c>
      <c r="L270" s="907">
        <v>0</v>
      </c>
      <c r="M270" s="907">
        <v>0</v>
      </c>
      <c r="N270" s="907">
        <v>0</v>
      </c>
      <c r="O270" s="907">
        <v>0</v>
      </c>
      <c r="P270" s="339"/>
      <c r="S270" s="277"/>
      <c r="T270" s="277"/>
      <c r="U270" s="277"/>
      <c r="V270" s="277"/>
      <c r="W270" s="277"/>
      <c r="X270" s="277"/>
      <c r="Y270" s="277"/>
      <c r="Z270" s="277"/>
      <c r="AA270" s="277"/>
      <c r="AB270" s="277"/>
      <c r="AC270" s="277"/>
      <c r="AD270" s="277"/>
      <c r="AE270" s="277"/>
      <c r="AF270" s="277"/>
      <c r="AG270" s="277"/>
      <c r="AH270" s="277"/>
      <c r="AI270" s="277"/>
      <c r="AJ270" s="216"/>
      <c r="AK270" s="304"/>
      <c r="AL270" s="303"/>
      <c r="AM270" s="216"/>
      <c r="AN270" s="304"/>
      <c r="AO270" s="277"/>
      <c r="AP270" s="303"/>
      <c r="AQ270" s="303"/>
      <c r="AR270" s="304"/>
      <c r="AS270" s="303"/>
      <c r="AT270" s="303"/>
      <c r="AU270" s="303"/>
      <c r="AV270" s="303"/>
      <c r="AW270" s="213"/>
      <c r="AX270" s="213"/>
      <c r="AY270" s="213"/>
      <c r="AZ270" s="213"/>
      <c r="BA270" s="213"/>
      <c r="BB270" s="213"/>
      <c r="BC270" s="213"/>
      <c r="BD270" s="213"/>
      <c r="BE270" s="213"/>
      <c r="BF270" s="213"/>
      <c r="BG270" s="213"/>
      <c r="BH270" s="213"/>
      <c r="BI270" s="213"/>
      <c r="BJ270" s="213"/>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row>
    <row r="271" spans="1:243" ht="15.6">
      <c r="A271" s="170">
        <f>A270+1</f>
        <v>164</v>
      </c>
      <c r="B271" s="327">
        <v>346</v>
      </c>
      <c r="C271" s="287"/>
      <c r="D271" s="907">
        <v>0</v>
      </c>
      <c r="E271" s="907">
        <v>0</v>
      </c>
      <c r="F271" s="907">
        <v>0</v>
      </c>
      <c r="G271" s="907">
        <v>0</v>
      </c>
      <c r="H271" s="907">
        <v>0</v>
      </c>
      <c r="I271" s="907">
        <v>0</v>
      </c>
      <c r="J271" s="907">
        <v>0</v>
      </c>
      <c r="K271" s="907">
        <v>0</v>
      </c>
      <c r="L271" s="907">
        <v>0</v>
      </c>
      <c r="M271" s="907">
        <v>0</v>
      </c>
      <c r="N271" s="907">
        <v>0</v>
      </c>
      <c r="O271" s="907">
        <v>0</v>
      </c>
      <c r="P271" s="339"/>
      <c r="S271" s="277"/>
      <c r="T271" s="277"/>
      <c r="U271" s="277"/>
      <c r="V271" s="277"/>
      <c r="W271" s="277"/>
      <c r="X271" s="277"/>
      <c r="Y271" s="277"/>
      <c r="Z271" s="277"/>
      <c r="AA271" s="277"/>
      <c r="AB271" s="277"/>
      <c r="AC271" s="277"/>
      <c r="AD271" s="277"/>
      <c r="AE271" s="277"/>
      <c r="AF271" s="277"/>
      <c r="AG271" s="277"/>
      <c r="AH271" s="277"/>
      <c r="AI271" s="277"/>
      <c r="AJ271" s="216"/>
      <c r="AK271" s="304"/>
      <c r="AL271" s="303"/>
      <c r="AM271" s="216"/>
      <c r="AN271" s="304"/>
      <c r="AO271" s="277"/>
      <c r="AP271" s="303"/>
      <c r="AQ271" s="303"/>
      <c r="AR271" s="304"/>
      <c r="AS271" s="303"/>
      <c r="AT271" s="303"/>
      <c r="AU271" s="303"/>
      <c r="AV271" s="303"/>
      <c r="AW271" s="213"/>
      <c r="AX271" s="213"/>
      <c r="AY271" s="213"/>
      <c r="AZ271" s="213"/>
      <c r="BA271" s="213"/>
      <c r="BB271" s="213"/>
      <c r="BC271" s="213"/>
      <c r="BD271" s="213"/>
      <c r="BE271" s="213"/>
      <c r="BF271" s="213"/>
      <c r="BG271" s="213"/>
      <c r="BH271" s="213"/>
      <c r="BI271" s="213"/>
      <c r="BJ271" s="213"/>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row>
    <row r="272" spans="1:243" ht="15.6">
      <c r="A272" s="355"/>
      <c r="B272" s="336"/>
      <c r="C272" s="287"/>
      <c r="D272" s="287"/>
      <c r="E272" s="287"/>
      <c r="F272" s="287"/>
      <c r="G272" s="287"/>
      <c r="H272" s="287"/>
      <c r="I272" s="287"/>
      <c r="J272" s="287"/>
      <c r="K272" s="334"/>
      <c r="L272" s="287"/>
      <c r="M272" s="287"/>
      <c r="N272" s="287"/>
      <c r="O272" s="287"/>
      <c r="P272" s="339"/>
      <c r="S272" s="277"/>
      <c r="T272" s="277"/>
      <c r="U272" s="277"/>
      <c r="V272" s="277"/>
      <c r="W272" s="277"/>
      <c r="X272" s="277"/>
      <c r="Y272" s="277"/>
      <c r="Z272" s="277"/>
      <c r="AA272" s="277"/>
      <c r="AB272" s="277"/>
      <c r="AC272" s="277"/>
      <c r="AD272" s="277"/>
      <c r="AE272" s="277"/>
      <c r="AF272" s="277"/>
      <c r="AG272" s="277"/>
      <c r="AH272" s="277"/>
      <c r="AI272" s="277"/>
      <c r="AJ272" s="216"/>
      <c r="AK272" s="304"/>
      <c r="AL272" s="303"/>
      <c r="AM272" s="216"/>
      <c r="AN272" s="304"/>
      <c r="AO272" s="277"/>
      <c r="AP272" s="303"/>
      <c r="AQ272" s="303"/>
      <c r="AR272" s="304"/>
      <c r="AS272" s="303"/>
      <c r="AT272" s="303"/>
      <c r="AU272" s="303"/>
      <c r="AV272" s="303"/>
      <c r="AW272" s="213"/>
      <c r="AX272" s="213"/>
      <c r="AY272" s="213"/>
      <c r="AZ272" s="213"/>
      <c r="BA272" s="213"/>
      <c r="BB272" s="213"/>
      <c r="BC272" s="213"/>
      <c r="BD272" s="213"/>
      <c r="BE272" s="213"/>
      <c r="BF272" s="213"/>
      <c r="BG272" s="213"/>
      <c r="BH272" s="213"/>
      <c r="BI272" s="213"/>
      <c r="BJ272" s="213"/>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row>
    <row r="273" spans="1:243" ht="18.600000000000001">
      <c r="A273" s="355"/>
      <c r="B273" s="355" t="s">
        <v>1078</v>
      </c>
      <c r="C273" s="334" t="s">
        <v>727</v>
      </c>
      <c r="D273" s="1778" t="s">
        <v>728</v>
      </c>
      <c r="E273" s="1779"/>
      <c r="F273" s="1779"/>
      <c r="G273" s="1779"/>
      <c r="H273" s="1779"/>
      <c r="I273" s="1779"/>
      <c r="J273" s="1779"/>
      <c r="K273" s="1779"/>
      <c r="L273" s="1779"/>
      <c r="M273" s="1779"/>
      <c r="N273" s="1779"/>
      <c r="O273" s="1779"/>
      <c r="P273" s="1779"/>
      <c r="S273" s="277"/>
      <c r="T273" s="277"/>
      <c r="U273" s="277"/>
      <c r="V273" s="277"/>
      <c r="W273" s="277"/>
      <c r="X273" s="277"/>
      <c r="Y273" s="277"/>
      <c r="Z273" s="277"/>
      <c r="AA273" s="277"/>
      <c r="AB273" s="277"/>
      <c r="AC273" s="277"/>
      <c r="AD273" s="277"/>
      <c r="AE273" s="277"/>
      <c r="AF273" s="277"/>
      <c r="AG273" s="277"/>
      <c r="AH273" s="277"/>
      <c r="AI273" s="277"/>
      <c r="AJ273" s="216"/>
      <c r="AK273" s="304"/>
      <c r="AL273" s="303"/>
      <c r="AM273" s="216"/>
      <c r="AN273" s="304"/>
      <c r="AO273" s="277"/>
      <c r="AP273" s="303"/>
      <c r="AQ273" s="303"/>
      <c r="AR273" s="304"/>
      <c r="AS273" s="303"/>
      <c r="AT273" s="303"/>
      <c r="AU273" s="303"/>
      <c r="AV273" s="303"/>
      <c r="AW273" s="213"/>
      <c r="AX273" s="213"/>
      <c r="AY273" s="213"/>
      <c r="AZ273" s="213"/>
      <c r="BA273" s="213"/>
      <c r="BB273" s="213"/>
      <c r="BC273" s="213"/>
      <c r="BD273" s="213"/>
      <c r="BE273" s="213"/>
      <c r="BF273" s="213"/>
      <c r="BG273" s="213"/>
      <c r="BH273" s="213"/>
      <c r="BI273" s="213"/>
      <c r="BJ273" s="21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row>
    <row r="274" spans="1:243" ht="18.600000000000001">
      <c r="A274" s="322"/>
      <c r="B274" s="322" t="s">
        <v>928</v>
      </c>
      <c r="C274" s="335" t="s">
        <v>729</v>
      </c>
      <c r="D274" s="358" t="s">
        <v>716</v>
      </c>
      <c r="E274" s="358" t="s">
        <v>717</v>
      </c>
      <c r="F274" s="358" t="s">
        <v>718</v>
      </c>
      <c r="G274" s="358" t="s">
        <v>719</v>
      </c>
      <c r="H274" s="358" t="s">
        <v>720</v>
      </c>
      <c r="I274" s="358" t="s">
        <v>721</v>
      </c>
      <c r="J274" s="358" t="s">
        <v>722</v>
      </c>
      <c r="K274" s="358" t="s">
        <v>723</v>
      </c>
      <c r="L274" s="358" t="s">
        <v>724</v>
      </c>
      <c r="M274" s="358" t="s">
        <v>725</v>
      </c>
      <c r="N274" s="358" t="s">
        <v>726</v>
      </c>
      <c r="O274" s="358" t="s">
        <v>715</v>
      </c>
      <c r="P274" s="360" t="s">
        <v>468</v>
      </c>
      <c r="S274" s="277"/>
      <c r="T274" s="277"/>
      <c r="U274" s="277"/>
      <c r="V274" s="277"/>
      <c r="W274" s="277"/>
      <c r="X274" s="277"/>
      <c r="Y274" s="277"/>
      <c r="Z274" s="277"/>
      <c r="AA274" s="277"/>
      <c r="AB274" s="277"/>
      <c r="AC274" s="277"/>
      <c r="AD274" s="277"/>
      <c r="AE274" s="277"/>
      <c r="AF274" s="277"/>
      <c r="AG274" s="277"/>
      <c r="AH274" s="277"/>
      <c r="AI274" s="277"/>
      <c r="AJ274" s="216"/>
      <c r="AK274" s="304"/>
      <c r="AL274" s="303"/>
      <c r="AM274" s="216"/>
      <c r="AN274" s="304"/>
      <c r="AO274" s="277"/>
      <c r="AP274" s="303"/>
      <c r="AQ274" s="303"/>
      <c r="AR274" s="304"/>
      <c r="AS274" s="303"/>
      <c r="AT274" s="303"/>
      <c r="AU274" s="303"/>
      <c r="AV274" s="303"/>
      <c r="AW274" s="213"/>
      <c r="AX274" s="213"/>
      <c r="AY274" s="213"/>
      <c r="AZ274" s="213"/>
      <c r="BA274" s="213"/>
      <c r="BB274" s="213"/>
      <c r="BC274" s="213"/>
      <c r="BD274" s="213"/>
      <c r="BE274" s="213"/>
      <c r="BF274" s="213"/>
      <c r="BG274" s="213"/>
      <c r="BH274" s="213"/>
      <c r="BI274" s="213"/>
      <c r="BJ274" s="213"/>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row>
    <row r="275" spans="1:243" ht="15.6">
      <c r="A275" s="170">
        <f>A271+1</f>
        <v>165</v>
      </c>
      <c r="B275" s="327">
        <f>B267</f>
        <v>341</v>
      </c>
      <c r="C275" s="908"/>
      <c r="D275" s="603">
        <f>D267*$C275/100/12</f>
        <v>0</v>
      </c>
      <c r="E275" s="603">
        <f t="shared" ref="E275:O275" si="56">E267*$C275/100/12</f>
        <v>0</v>
      </c>
      <c r="F275" s="603">
        <f t="shared" si="56"/>
        <v>0</v>
      </c>
      <c r="G275" s="603">
        <f t="shared" si="56"/>
        <v>0</v>
      </c>
      <c r="H275" s="603">
        <f t="shared" si="56"/>
        <v>0</v>
      </c>
      <c r="I275" s="603">
        <f t="shared" si="56"/>
        <v>0</v>
      </c>
      <c r="J275" s="603">
        <f t="shared" si="56"/>
        <v>0</v>
      </c>
      <c r="K275" s="603">
        <f t="shared" si="56"/>
        <v>0</v>
      </c>
      <c r="L275" s="603">
        <f t="shared" si="56"/>
        <v>0</v>
      </c>
      <c r="M275" s="603">
        <f t="shared" si="56"/>
        <v>0</v>
      </c>
      <c r="N275" s="603">
        <f t="shared" si="56"/>
        <v>0</v>
      </c>
      <c r="O275" s="603">
        <f t="shared" si="56"/>
        <v>0</v>
      </c>
      <c r="P275" s="333">
        <f>SUM(D275:O275)</f>
        <v>0</v>
      </c>
      <c r="S275" s="277"/>
      <c r="T275" s="277"/>
      <c r="U275" s="277"/>
      <c r="V275" s="277"/>
      <c r="W275" s="277"/>
      <c r="X275" s="277"/>
      <c r="Y275" s="277"/>
      <c r="Z275" s="277"/>
      <c r="AA275" s="277"/>
      <c r="AB275" s="277"/>
      <c r="AC275" s="277"/>
      <c r="AD275" s="277"/>
      <c r="AE275" s="277"/>
      <c r="AF275" s="277"/>
      <c r="AG275" s="277"/>
      <c r="AH275" s="277"/>
      <c r="AI275" s="277"/>
      <c r="AJ275" s="216"/>
      <c r="AK275" s="304"/>
      <c r="AL275" s="303"/>
      <c r="AM275" s="216"/>
      <c r="AN275" s="304"/>
      <c r="AO275" s="277"/>
      <c r="AP275" s="303"/>
      <c r="AQ275" s="303"/>
      <c r="AR275" s="304"/>
      <c r="AS275" s="303"/>
      <c r="AT275" s="303"/>
      <c r="AU275" s="303"/>
      <c r="AV275" s="303"/>
      <c r="AW275" s="213"/>
      <c r="AX275" s="213"/>
      <c r="AY275" s="213"/>
      <c r="AZ275" s="213"/>
      <c r="BA275" s="213"/>
      <c r="BB275" s="213"/>
      <c r="BC275" s="213"/>
      <c r="BD275" s="213"/>
      <c r="BE275" s="213"/>
      <c r="BF275" s="213"/>
      <c r="BG275" s="213"/>
      <c r="BH275" s="213"/>
      <c r="BI275" s="213"/>
      <c r="BJ275" s="213"/>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row>
    <row r="276" spans="1:243" ht="15.6">
      <c r="A276" s="170">
        <f>A275+1</f>
        <v>166</v>
      </c>
      <c r="B276" s="327">
        <f>B268</f>
        <v>342</v>
      </c>
      <c r="C276" s="908"/>
      <c r="D276" s="603">
        <f t="shared" ref="D276:O279" si="57">D268*$C276/100/12</f>
        <v>0</v>
      </c>
      <c r="E276" s="603">
        <f t="shared" si="57"/>
        <v>0</v>
      </c>
      <c r="F276" s="603">
        <f t="shared" si="57"/>
        <v>0</v>
      </c>
      <c r="G276" s="603">
        <f t="shared" si="57"/>
        <v>0</v>
      </c>
      <c r="H276" s="603">
        <f t="shared" si="57"/>
        <v>0</v>
      </c>
      <c r="I276" s="603">
        <f t="shared" si="57"/>
        <v>0</v>
      </c>
      <c r="J276" s="603">
        <f t="shared" si="57"/>
        <v>0</v>
      </c>
      <c r="K276" s="603">
        <f t="shared" si="57"/>
        <v>0</v>
      </c>
      <c r="L276" s="603">
        <f t="shared" si="57"/>
        <v>0</v>
      </c>
      <c r="M276" s="603">
        <f t="shared" si="57"/>
        <v>0</v>
      </c>
      <c r="N276" s="603">
        <f t="shared" si="57"/>
        <v>0</v>
      </c>
      <c r="O276" s="603">
        <f t="shared" si="57"/>
        <v>0</v>
      </c>
      <c r="P276" s="333">
        <f>SUM(D276:O276)</f>
        <v>0</v>
      </c>
      <c r="S276" s="277"/>
      <c r="T276" s="277"/>
      <c r="U276" s="277"/>
      <c r="V276" s="277"/>
      <c r="W276" s="277"/>
      <c r="X276" s="277"/>
      <c r="Y276" s="303"/>
      <c r="Z276" s="303"/>
      <c r="AA276" s="303"/>
      <c r="AB276" s="303"/>
      <c r="AC276" s="303"/>
      <c r="AD276" s="277"/>
      <c r="AE276" s="277"/>
      <c r="AF276" s="277"/>
      <c r="AG276" s="277"/>
      <c r="AH276" s="277"/>
      <c r="AI276" s="277"/>
      <c r="AJ276" s="216"/>
      <c r="AK276" s="304"/>
      <c r="AL276" s="303"/>
      <c r="AM276" s="216"/>
      <c r="AN276" s="304"/>
      <c r="AO276" s="277"/>
      <c r="AP276" s="303"/>
      <c r="AQ276" s="303"/>
      <c r="AR276" s="304"/>
      <c r="AS276" s="303"/>
      <c r="AT276" s="303"/>
      <c r="AU276" s="303"/>
      <c r="AV276" s="303"/>
      <c r="AW276" s="213"/>
      <c r="AX276" s="213"/>
      <c r="AY276" s="213"/>
      <c r="AZ276" s="213"/>
      <c r="BA276" s="213"/>
      <c r="BB276" s="213"/>
      <c r="BC276" s="213"/>
      <c r="BD276" s="213"/>
      <c r="BE276" s="213"/>
      <c r="BF276" s="213"/>
      <c r="BG276" s="213"/>
      <c r="BH276" s="213"/>
      <c r="BI276" s="213"/>
      <c r="BJ276" s="213"/>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row>
    <row r="277" spans="1:243" ht="15.6">
      <c r="A277" s="170">
        <f>A276+1</f>
        <v>167</v>
      </c>
      <c r="B277" s="327">
        <f>B269</f>
        <v>344</v>
      </c>
      <c r="C277" s="908"/>
      <c r="D277" s="603">
        <f t="shared" si="57"/>
        <v>0</v>
      </c>
      <c r="E277" s="603">
        <f t="shared" si="57"/>
        <v>0</v>
      </c>
      <c r="F277" s="603">
        <f t="shared" si="57"/>
        <v>0</v>
      </c>
      <c r="G277" s="603">
        <f t="shared" si="57"/>
        <v>0</v>
      </c>
      <c r="H277" s="603">
        <f t="shared" si="57"/>
        <v>0</v>
      </c>
      <c r="I277" s="603">
        <f t="shared" si="57"/>
        <v>0</v>
      </c>
      <c r="J277" s="603">
        <f t="shared" si="57"/>
        <v>0</v>
      </c>
      <c r="K277" s="603">
        <f t="shared" si="57"/>
        <v>0</v>
      </c>
      <c r="L277" s="603">
        <f t="shared" si="57"/>
        <v>0</v>
      </c>
      <c r="M277" s="603">
        <f t="shared" si="57"/>
        <v>0</v>
      </c>
      <c r="N277" s="603">
        <f t="shared" si="57"/>
        <v>0</v>
      </c>
      <c r="O277" s="603">
        <f t="shared" si="57"/>
        <v>0</v>
      </c>
      <c r="P277" s="333">
        <f>SUM(D277:O277)</f>
        <v>0</v>
      </c>
      <c r="S277" s="277"/>
      <c r="T277" s="277"/>
      <c r="U277" s="277"/>
      <c r="V277" s="277"/>
      <c r="W277" s="277"/>
      <c r="X277" s="277"/>
      <c r="Y277" s="277"/>
      <c r="Z277" s="277"/>
      <c r="AA277" s="277"/>
      <c r="AB277" s="277"/>
      <c r="AC277" s="277"/>
      <c r="AD277" s="277"/>
      <c r="AE277" s="277"/>
      <c r="AF277" s="277"/>
      <c r="AG277" s="277"/>
      <c r="AH277" s="277"/>
      <c r="AI277" s="277"/>
      <c r="AJ277" s="216"/>
      <c r="AK277" s="304"/>
      <c r="AL277" s="303"/>
      <c r="AM277" s="216"/>
      <c r="AN277" s="304"/>
      <c r="AO277" s="277"/>
      <c r="AP277" s="303"/>
      <c r="AQ277" s="303"/>
      <c r="AR277" s="304"/>
      <c r="AS277" s="303"/>
      <c r="AT277" s="303"/>
      <c r="AU277" s="303"/>
      <c r="AV277" s="303"/>
      <c r="AW277" s="213"/>
      <c r="AX277" s="213"/>
      <c r="AY277" s="213"/>
      <c r="AZ277" s="213"/>
      <c r="BA277" s="213"/>
      <c r="BB277" s="213"/>
      <c r="BC277" s="213"/>
      <c r="BD277" s="213"/>
      <c r="BE277" s="213"/>
      <c r="BF277" s="213"/>
      <c r="BG277" s="213"/>
      <c r="BH277" s="213"/>
      <c r="BI277" s="213"/>
      <c r="BJ277" s="213"/>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row>
    <row r="278" spans="1:243" ht="15.6">
      <c r="A278" s="170">
        <f>A277+1</f>
        <v>168</v>
      </c>
      <c r="B278" s="327">
        <f>B270</f>
        <v>345</v>
      </c>
      <c r="C278" s="908"/>
      <c r="D278" s="603">
        <f t="shared" si="57"/>
        <v>0</v>
      </c>
      <c r="E278" s="603">
        <f t="shared" si="57"/>
        <v>0</v>
      </c>
      <c r="F278" s="603">
        <f t="shared" si="57"/>
        <v>0</v>
      </c>
      <c r="G278" s="603">
        <f t="shared" si="57"/>
        <v>0</v>
      </c>
      <c r="H278" s="603">
        <f t="shared" si="57"/>
        <v>0</v>
      </c>
      <c r="I278" s="603">
        <f t="shared" si="57"/>
        <v>0</v>
      </c>
      <c r="J278" s="603">
        <f t="shared" si="57"/>
        <v>0</v>
      </c>
      <c r="K278" s="603">
        <f t="shared" si="57"/>
        <v>0</v>
      </c>
      <c r="L278" s="603">
        <f t="shared" si="57"/>
        <v>0</v>
      </c>
      <c r="M278" s="603">
        <f t="shared" si="57"/>
        <v>0</v>
      </c>
      <c r="N278" s="603">
        <f t="shared" si="57"/>
        <v>0</v>
      </c>
      <c r="O278" s="603">
        <f t="shared" si="57"/>
        <v>0</v>
      </c>
      <c r="P278" s="333">
        <f>SUM(D278:O278)</f>
        <v>0</v>
      </c>
      <c r="S278" s="277"/>
      <c r="T278" s="277"/>
      <c r="U278" s="277"/>
      <c r="V278" s="303"/>
      <c r="W278" s="303"/>
      <c r="X278" s="303"/>
      <c r="Y278" s="277"/>
      <c r="Z278" s="277"/>
      <c r="AA278" s="277"/>
      <c r="AB278" s="277"/>
      <c r="AC278" s="277"/>
      <c r="AD278" s="277"/>
      <c r="AE278" s="277"/>
      <c r="AF278" s="277"/>
      <c r="AG278" s="277"/>
      <c r="AH278" s="277"/>
      <c r="AI278" s="277"/>
      <c r="AJ278" s="216"/>
      <c r="AK278" s="304"/>
      <c r="AL278" s="303"/>
      <c r="AM278" s="216"/>
      <c r="AN278" s="304"/>
      <c r="AO278" s="277"/>
      <c r="AP278" s="303"/>
      <c r="AQ278" s="303"/>
      <c r="AR278" s="304"/>
      <c r="AS278" s="303"/>
      <c r="AT278" s="303"/>
      <c r="AU278" s="303"/>
      <c r="AV278" s="303"/>
      <c r="AW278" s="213"/>
      <c r="AX278" s="213"/>
      <c r="AY278" s="213"/>
      <c r="AZ278" s="213"/>
      <c r="BA278" s="213"/>
      <c r="BB278" s="213"/>
      <c r="BC278" s="213"/>
      <c r="BD278" s="213"/>
      <c r="BE278" s="213"/>
      <c r="BF278" s="213"/>
      <c r="BG278" s="213"/>
      <c r="BH278" s="213"/>
      <c r="BI278" s="213"/>
      <c r="BJ278" s="213"/>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row>
    <row r="279" spans="1:243" ht="15.6">
      <c r="A279" s="170">
        <f>A278+1</f>
        <v>169</v>
      </c>
      <c r="B279" s="327">
        <f>B271</f>
        <v>346</v>
      </c>
      <c r="C279" s="908"/>
      <c r="D279" s="603">
        <f t="shared" si="57"/>
        <v>0</v>
      </c>
      <c r="E279" s="603">
        <f t="shared" si="57"/>
        <v>0</v>
      </c>
      <c r="F279" s="603">
        <f t="shared" si="57"/>
        <v>0</v>
      </c>
      <c r="G279" s="603">
        <f t="shared" si="57"/>
        <v>0</v>
      </c>
      <c r="H279" s="603">
        <f t="shared" si="57"/>
        <v>0</v>
      </c>
      <c r="I279" s="603">
        <f t="shared" si="57"/>
        <v>0</v>
      </c>
      <c r="J279" s="603">
        <f t="shared" si="57"/>
        <v>0</v>
      </c>
      <c r="K279" s="603">
        <f t="shared" si="57"/>
        <v>0</v>
      </c>
      <c r="L279" s="603">
        <f t="shared" si="57"/>
        <v>0</v>
      </c>
      <c r="M279" s="603">
        <f t="shared" si="57"/>
        <v>0</v>
      </c>
      <c r="N279" s="603">
        <f t="shared" si="57"/>
        <v>0</v>
      </c>
      <c r="O279" s="603">
        <f t="shared" si="57"/>
        <v>0</v>
      </c>
      <c r="P279" s="333">
        <f>SUM(D279:O279)</f>
        <v>0</v>
      </c>
      <c r="S279" s="277"/>
      <c r="T279" s="277"/>
      <c r="U279" s="277"/>
      <c r="V279" s="277"/>
      <c r="W279" s="277"/>
      <c r="X279" s="277"/>
      <c r="Y279" s="277"/>
      <c r="Z279" s="277"/>
      <c r="AA279" s="277"/>
      <c r="AB279" s="277"/>
      <c r="AC279" s="277"/>
      <c r="AD279" s="277"/>
      <c r="AE279" s="277"/>
      <c r="AF279" s="277"/>
      <c r="AG279" s="277"/>
      <c r="AH279" s="277"/>
      <c r="AI279" s="277"/>
      <c r="AJ279" s="216"/>
      <c r="AK279" s="304"/>
      <c r="AL279" s="303"/>
      <c r="AM279" s="216"/>
      <c r="AN279" s="304"/>
      <c r="AO279" s="277"/>
      <c r="AP279" s="303"/>
      <c r="AQ279" s="303"/>
      <c r="AR279" s="304"/>
      <c r="AS279" s="303"/>
      <c r="AT279" s="303"/>
      <c r="AU279" s="303"/>
      <c r="AV279" s="303"/>
      <c r="AW279" s="213"/>
      <c r="AX279" s="213"/>
      <c r="AY279" s="213"/>
      <c r="AZ279" s="213"/>
      <c r="BA279" s="213"/>
      <c r="BB279" s="213"/>
      <c r="BC279" s="213"/>
      <c r="BD279" s="213"/>
      <c r="BE279" s="213"/>
      <c r="BF279" s="213"/>
      <c r="BG279" s="213"/>
      <c r="BH279" s="213"/>
      <c r="BI279" s="213"/>
      <c r="BJ279" s="213"/>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row>
    <row r="280" spans="1:243" ht="15.6">
      <c r="A280" s="355"/>
      <c r="B280" s="287"/>
      <c r="C280" s="287"/>
      <c r="D280" s="287"/>
      <c r="E280" s="287"/>
      <c r="F280" s="287"/>
      <c r="G280" s="287"/>
      <c r="H280" s="287"/>
      <c r="I280" s="287"/>
      <c r="J280" s="287"/>
      <c r="K280" s="334"/>
      <c r="L280" s="287"/>
      <c r="M280" s="287"/>
      <c r="N280" s="287"/>
      <c r="O280" s="287"/>
      <c r="P280" s="339"/>
      <c r="S280" s="277"/>
      <c r="T280" s="277"/>
      <c r="U280" s="277"/>
      <c r="V280" s="277"/>
      <c r="W280" s="277"/>
      <c r="X280" s="277"/>
      <c r="Y280" s="277"/>
      <c r="Z280" s="277"/>
      <c r="AA280" s="277"/>
      <c r="AB280" s="277"/>
      <c r="AC280" s="277"/>
      <c r="AD280" s="277"/>
      <c r="AE280" s="277"/>
      <c r="AF280" s="277"/>
      <c r="AG280" s="277"/>
      <c r="AH280" s="277"/>
      <c r="AI280" s="277"/>
      <c r="AJ280" s="216"/>
      <c r="AK280" s="304"/>
      <c r="AL280" s="303"/>
      <c r="AM280" s="216"/>
      <c r="AN280" s="304"/>
      <c r="AO280" s="277"/>
      <c r="AP280" s="303"/>
      <c r="AQ280" s="303"/>
      <c r="AR280" s="304"/>
      <c r="AS280" s="303"/>
      <c r="AT280" s="303"/>
      <c r="AU280" s="303"/>
      <c r="AV280" s="303"/>
      <c r="AW280" s="213"/>
      <c r="AX280" s="213"/>
      <c r="AY280" s="213"/>
      <c r="AZ280" s="213"/>
      <c r="BA280" s="213"/>
      <c r="BB280" s="213"/>
      <c r="BC280" s="213"/>
      <c r="BD280" s="213"/>
      <c r="BE280" s="213"/>
      <c r="BF280" s="213"/>
      <c r="BG280" s="213"/>
      <c r="BH280" s="213"/>
      <c r="BI280" s="213"/>
      <c r="BJ280" s="213"/>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row>
    <row r="281" spans="1:243" ht="18.600000000000001">
      <c r="A281" s="355"/>
      <c r="B281" s="355" t="s">
        <v>1078</v>
      </c>
      <c r="C281" s="334" t="s">
        <v>730</v>
      </c>
      <c r="D281" s="1778" t="s">
        <v>731</v>
      </c>
      <c r="E281" s="1779"/>
      <c r="F281" s="1779"/>
      <c r="G281" s="1779"/>
      <c r="H281" s="1779"/>
      <c r="I281" s="1779"/>
      <c r="J281" s="1779"/>
      <c r="K281" s="1779"/>
      <c r="L281" s="1779"/>
      <c r="M281" s="1779"/>
      <c r="N281" s="1779"/>
      <c r="O281" s="1779"/>
      <c r="P281" s="1779"/>
      <c r="S281" s="277"/>
      <c r="T281" s="277"/>
      <c r="U281" s="277"/>
      <c r="V281" s="277"/>
      <c r="W281" s="277"/>
      <c r="X281" s="277"/>
      <c r="Y281" s="277"/>
      <c r="Z281" s="277"/>
      <c r="AA281" s="277"/>
      <c r="AB281" s="277"/>
      <c r="AC281" s="277"/>
      <c r="AD281" s="277"/>
      <c r="AE281" s="277"/>
      <c r="AF281" s="277"/>
      <c r="AG281" s="277"/>
      <c r="AH281" s="277"/>
      <c r="AI281" s="277"/>
      <c r="AJ281" s="216"/>
      <c r="AK281" s="304"/>
      <c r="AL281" s="303"/>
      <c r="AM281" s="216"/>
      <c r="AN281" s="304"/>
      <c r="AO281" s="277"/>
      <c r="AP281" s="303"/>
      <c r="AQ281" s="303"/>
      <c r="AR281" s="304"/>
      <c r="AS281" s="303"/>
      <c r="AT281" s="303"/>
      <c r="AU281" s="303"/>
      <c r="AV281" s="303"/>
      <c r="AW281" s="213"/>
      <c r="AX281" s="213"/>
      <c r="AY281" s="213"/>
      <c r="AZ281" s="213"/>
      <c r="BA281" s="213"/>
      <c r="BB281" s="213"/>
      <c r="BC281" s="213"/>
      <c r="BD281" s="213"/>
      <c r="BE281" s="213"/>
      <c r="BF281" s="213"/>
      <c r="BG281" s="213"/>
      <c r="BH281" s="213"/>
      <c r="BI281" s="213"/>
      <c r="BJ281" s="213"/>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row>
    <row r="282" spans="1:243" ht="18.600000000000001">
      <c r="A282" s="355"/>
      <c r="B282" s="322" t="s">
        <v>928</v>
      </c>
      <c r="C282" s="335" t="s">
        <v>732</v>
      </c>
      <c r="D282" s="358" t="s">
        <v>716</v>
      </c>
      <c r="E282" s="358" t="s">
        <v>717</v>
      </c>
      <c r="F282" s="358" t="s">
        <v>718</v>
      </c>
      <c r="G282" s="358" t="s">
        <v>719</v>
      </c>
      <c r="H282" s="358" t="s">
        <v>720</v>
      </c>
      <c r="I282" s="358" t="s">
        <v>721</v>
      </c>
      <c r="J282" s="358" t="s">
        <v>722</v>
      </c>
      <c r="K282" s="358" t="s">
        <v>723</v>
      </c>
      <c r="L282" s="358" t="s">
        <v>724</v>
      </c>
      <c r="M282" s="358" t="s">
        <v>725</v>
      </c>
      <c r="N282" s="358" t="s">
        <v>726</v>
      </c>
      <c r="O282" s="358" t="s">
        <v>715</v>
      </c>
      <c r="P282" s="360" t="s">
        <v>628</v>
      </c>
      <c r="S282" s="277"/>
      <c r="T282" s="277"/>
      <c r="U282" s="277"/>
      <c r="V282" s="277"/>
      <c r="W282" s="277"/>
      <c r="X282" s="277"/>
      <c r="Y282" s="277"/>
      <c r="Z282" s="277"/>
      <c r="AA282" s="277"/>
      <c r="AB282" s="277"/>
      <c r="AC282" s="277"/>
      <c r="AD282" s="277"/>
      <c r="AE282" s="277"/>
      <c r="AF282" s="277"/>
      <c r="AG282" s="277"/>
      <c r="AH282" s="277"/>
      <c r="AI282" s="277"/>
      <c r="AJ282" s="216"/>
      <c r="AK282" s="304"/>
      <c r="AL282" s="303"/>
      <c r="AM282" s="216"/>
      <c r="AN282" s="304"/>
      <c r="AO282" s="277"/>
      <c r="AP282" s="303"/>
      <c r="AQ282" s="303"/>
      <c r="AR282" s="304"/>
      <c r="AS282" s="303"/>
      <c r="AT282" s="303"/>
      <c r="AU282" s="303"/>
      <c r="AV282" s="303"/>
      <c r="AW282" s="213"/>
      <c r="AX282" s="213"/>
      <c r="AY282" s="213"/>
      <c r="AZ282" s="213"/>
      <c r="BA282" s="213"/>
      <c r="BB282" s="213"/>
      <c r="BC282" s="213"/>
      <c r="BD282" s="213"/>
      <c r="BE282" s="213"/>
      <c r="BF282" s="213"/>
      <c r="BG282" s="213"/>
      <c r="BH282" s="213"/>
      <c r="BI282" s="213"/>
      <c r="BJ282" s="213"/>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row>
    <row r="283" spans="1:243" ht="15.6">
      <c r="A283" s="170">
        <f>A279+1</f>
        <v>170</v>
      </c>
      <c r="B283" s="327">
        <f>B267</f>
        <v>341</v>
      </c>
      <c r="C283" s="907">
        <v>0</v>
      </c>
      <c r="D283" s="603">
        <f>C283+D275</f>
        <v>0</v>
      </c>
      <c r="E283" s="603">
        <f t="shared" ref="E283:O283" si="58">D283+E275</f>
        <v>0</v>
      </c>
      <c r="F283" s="603">
        <f t="shared" si="58"/>
        <v>0</v>
      </c>
      <c r="G283" s="603">
        <f t="shared" si="58"/>
        <v>0</v>
      </c>
      <c r="H283" s="603">
        <f t="shared" si="58"/>
        <v>0</v>
      </c>
      <c r="I283" s="603">
        <f t="shared" si="58"/>
        <v>0</v>
      </c>
      <c r="J283" s="603">
        <f t="shared" si="58"/>
        <v>0</v>
      </c>
      <c r="K283" s="603">
        <f t="shared" si="58"/>
        <v>0</v>
      </c>
      <c r="L283" s="603">
        <f t="shared" si="58"/>
        <v>0</v>
      </c>
      <c r="M283" s="603">
        <f t="shared" si="58"/>
        <v>0</v>
      </c>
      <c r="N283" s="603">
        <f t="shared" si="58"/>
        <v>0</v>
      </c>
      <c r="O283" s="603">
        <f t="shared" si="58"/>
        <v>0</v>
      </c>
      <c r="P283" s="333">
        <f>O283</f>
        <v>0</v>
      </c>
      <c r="S283" s="277"/>
      <c r="T283" s="277"/>
      <c r="U283" s="277"/>
      <c r="V283" s="277"/>
      <c r="W283" s="277"/>
      <c r="X283" s="277"/>
      <c r="Y283" s="277"/>
      <c r="Z283" s="277"/>
      <c r="AA283" s="277"/>
      <c r="AB283" s="277"/>
      <c r="AC283" s="277"/>
      <c r="AD283" s="277"/>
      <c r="AE283" s="277"/>
      <c r="AF283" s="277"/>
      <c r="AG283" s="277"/>
      <c r="AH283" s="277"/>
      <c r="AI283" s="277"/>
      <c r="AJ283" s="216"/>
      <c r="AK283" s="304"/>
      <c r="AL283" s="303"/>
      <c r="AM283" s="216"/>
      <c r="AN283" s="304"/>
      <c r="AO283" s="277"/>
      <c r="AP283" s="303"/>
      <c r="AQ283" s="303"/>
      <c r="AR283" s="304"/>
      <c r="AS283" s="303"/>
      <c r="AT283" s="303"/>
      <c r="AU283" s="303"/>
      <c r="AV283" s="303"/>
      <c r="AW283" s="213"/>
      <c r="AX283" s="213"/>
      <c r="AY283" s="213"/>
      <c r="AZ283" s="213"/>
      <c r="BA283" s="213"/>
      <c r="BB283" s="213"/>
      <c r="BC283" s="213"/>
      <c r="BD283" s="213"/>
      <c r="BE283" s="213"/>
      <c r="BF283" s="213"/>
      <c r="BG283" s="213"/>
      <c r="BH283" s="213"/>
      <c r="BI283" s="213"/>
      <c r="BJ283" s="21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row>
    <row r="284" spans="1:243" ht="15.6">
      <c r="A284" s="170">
        <f>A283+1</f>
        <v>171</v>
      </c>
      <c r="B284" s="327">
        <f>B268</f>
        <v>342</v>
      </c>
      <c r="C284" s="907">
        <v>0</v>
      </c>
      <c r="D284" s="603">
        <f t="shared" ref="D284:O287" si="59">C284+D276</f>
        <v>0</v>
      </c>
      <c r="E284" s="603">
        <f t="shared" si="59"/>
        <v>0</v>
      </c>
      <c r="F284" s="603">
        <f t="shared" si="59"/>
        <v>0</v>
      </c>
      <c r="G284" s="603">
        <f t="shared" si="59"/>
        <v>0</v>
      </c>
      <c r="H284" s="603">
        <f t="shared" si="59"/>
        <v>0</v>
      </c>
      <c r="I284" s="603">
        <f t="shared" si="59"/>
        <v>0</v>
      </c>
      <c r="J284" s="603">
        <f t="shared" si="59"/>
        <v>0</v>
      </c>
      <c r="K284" s="603">
        <f t="shared" si="59"/>
        <v>0</v>
      </c>
      <c r="L284" s="603">
        <f t="shared" si="59"/>
        <v>0</v>
      </c>
      <c r="M284" s="603">
        <f t="shared" si="59"/>
        <v>0</v>
      </c>
      <c r="N284" s="603">
        <f t="shared" si="59"/>
        <v>0</v>
      </c>
      <c r="O284" s="603">
        <f t="shared" si="59"/>
        <v>0</v>
      </c>
      <c r="P284" s="333">
        <f>O284</f>
        <v>0</v>
      </c>
      <c r="S284" s="277"/>
      <c r="T284" s="277"/>
      <c r="U284" s="277"/>
      <c r="V284" s="277"/>
      <c r="W284" s="277"/>
      <c r="X284" s="277"/>
      <c r="Y284" s="277"/>
      <c r="Z284" s="277"/>
      <c r="AA284" s="277"/>
      <c r="AB284" s="277"/>
      <c r="AC284" s="277"/>
      <c r="AD284" s="277"/>
      <c r="AE284" s="277"/>
      <c r="AF284" s="277"/>
      <c r="AG284" s="277"/>
      <c r="AH284" s="277"/>
      <c r="AI284" s="277"/>
      <c r="AJ284" s="216"/>
      <c r="AK284" s="304"/>
      <c r="AL284" s="303"/>
      <c r="AM284" s="216"/>
      <c r="AN284" s="304"/>
      <c r="AO284" s="277"/>
      <c r="AP284" s="303"/>
      <c r="AQ284" s="303"/>
      <c r="AR284" s="304"/>
      <c r="AS284" s="303"/>
      <c r="AT284" s="303"/>
      <c r="AU284" s="303"/>
      <c r="AV284" s="303"/>
      <c r="AW284" s="213"/>
      <c r="AX284" s="213"/>
      <c r="AY284" s="213"/>
      <c r="AZ284" s="213"/>
      <c r="BA284" s="213"/>
      <c r="BB284" s="213"/>
      <c r="BC284" s="213"/>
      <c r="BD284" s="213"/>
      <c r="BE284" s="213"/>
      <c r="BF284" s="213"/>
      <c r="BG284" s="213"/>
      <c r="BH284" s="213"/>
      <c r="BI284" s="213"/>
      <c r="BJ284" s="213"/>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row>
    <row r="285" spans="1:243" ht="15.6">
      <c r="A285" s="170">
        <f>A284+1</f>
        <v>172</v>
      </c>
      <c r="B285" s="327">
        <f>B269</f>
        <v>344</v>
      </c>
      <c r="C285" s="907">
        <v>0</v>
      </c>
      <c r="D285" s="603">
        <f t="shared" si="59"/>
        <v>0</v>
      </c>
      <c r="E285" s="603">
        <f t="shared" si="59"/>
        <v>0</v>
      </c>
      <c r="F285" s="603">
        <f t="shared" si="59"/>
        <v>0</v>
      </c>
      <c r="G285" s="603">
        <f t="shared" si="59"/>
        <v>0</v>
      </c>
      <c r="H285" s="603">
        <f t="shared" si="59"/>
        <v>0</v>
      </c>
      <c r="I285" s="603">
        <f t="shared" si="59"/>
        <v>0</v>
      </c>
      <c r="J285" s="603">
        <f t="shared" si="59"/>
        <v>0</v>
      </c>
      <c r="K285" s="603">
        <f t="shared" si="59"/>
        <v>0</v>
      </c>
      <c r="L285" s="603">
        <f t="shared" si="59"/>
        <v>0</v>
      </c>
      <c r="M285" s="603">
        <f t="shared" si="59"/>
        <v>0</v>
      </c>
      <c r="N285" s="603">
        <f t="shared" si="59"/>
        <v>0</v>
      </c>
      <c r="O285" s="603">
        <f t="shared" si="59"/>
        <v>0</v>
      </c>
      <c r="P285" s="333">
        <f>O285</f>
        <v>0</v>
      </c>
      <c r="S285" s="277"/>
      <c r="T285" s="277"/>
      <c r="U285" s="277"/>
      <c r="V285" s="277"/>
      <c r="W285" s="277"/>
      <c r="X285" s="277"/>
      <c r="Y285" s="277"/>
      <c r="Z285" s="277"/>
      <c r="AA285" s="277"/>
      <c r="AB285" s="277"/>
      <c r="AC285" s="277"/>
      <c r="AD285" s="277"/>
      <c r="AE285" s="277"/>
      <c r="AF285" s="277"/>
      <c r="AG285" s="277"/>
      <c r="AH285" s="277"/>
      <c r="AI285" s="277"/>
      <c r="AJ285" s="216"/>
      <c r="AK285" s="304"/>
      <c r="AL285" s="303"/>
      <c r="AM285" s="216"/>
      <c r="AN285" s="304"/>
      <c r="AO285" s="277"/>
      <c r="AP285" s="303"/>
      <c r="AQ285" s="303"/>
      <c r="AR285" s="304"/>
      <c r="AS285" s="303"/>
      <c r="AT285" s="303"/>
      <c r="AU285" s="303"/>
      <c r="AV285" s="303"/>
      <c r="AW285" s="213"/>
      <c r="AX285" s="213"/>
      <c r="AY285" s="213"/>
      <c r="AZ285" s="213"/>
      <c r="BA285" s="213"/>
      <c r="BB285" s="213"/>
      <c r="BC285" s="213"/>
      <c r="BD285" s="213"/>
      <c r="BE285" s="213"/>
      <c r="BF285" s="213"/>
      <c r="BG285" s="213"/>
      <c r="BH285" s="213"/>
      <c r="BI285" s="213"/>
      <c r="BJ285" s="213"/>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row>
    <row r="286" spans="1:243" ht="15.6">
      <c r="A286" s="170">
        <f>A285+1</f>
        <v>173</v>
      </c>
      <c r="B286" s="327">
        <f>B270</f>
        <v>345</v>
      </c>
      <c r="C286" s="907">
        <v>0</v>
      </c>
      <c r="D286" s="603">
        <f t="shared" si="59"/>
        <v>0</v>
      </c>
      <c r="E286" s="603">
        <f t="shared" si="59"/>
        <v>0</v>
      </c>
      <c r="F286" s="603">
        <f t="shared" si="59"/>
        <v>0</v>
      </c>
      <c r="G286" s="603">
        <f t="shared" si="59"/>
        <v>0</v>
      </c>
      <c r="H286" s="603">
        <f t="shared" si="59"/>
        <v>0</v>
      </c>
      <c r="I286" s="603">
        <f t="shared" si="59"/>
        <v>0</v>
      </c>
      <c r="J286" s="603">
        <f t="shared" si="59"/>
        <v>0</v>
      </c>
      <c r="K286" s="603">
        <f t="shared" si="59"/>
        <v>0</v>
      </c>
      <c r="L286" s="603">
        <f t="shared" si="59"/>
        <v>0</v>
      </c>
      <c r="M286" s="603">
        <f t="shared" si="59"/>
        <v>0</v>
      </c>
      <c r="N286" s="603">
        <f t="shared" si="59"/>
        <v>0</v>
      </c>
      <c r="O286" s="603">
        <f t="shared" si="59"/>
        <v>0</v>
      </c>
      <c r="P286" s="333">
        <f>O286</f>
        <v>0</v>
      </c>
      <c r="S286" s="277"/>
      <c r="T286" s="277"/>
      <c r="U286" s="277"/>
      <c r="V286" s="277"/>
      <c r="W286" s="277"/>
      <c r="X286" s="277"/>
      <c r="Y286" s="277"/>
      <c r="Z286" s="277"/>
      <c r="AA286" s="277"/>
      <c r="AB286" s="277"/>
      <c r="AC286" s="277"/>
      <c r="AD286" s="277"/>
      <c r="AE286" s="277"/>
      <c r="AF286" s="277"/>
      <c r="AG286" s="277"/>
      <c r="AH286" s="277"/>
      <c r="AI286" s="277"/>
      <c r="AJ286" s="216"/>
      <c r="AK286" s="304"/>
      <c r="AL286" s="303"/>
      <c r="AM286" s="216"/>
      <c r="AN286" s="304"/>
      <c r="AO286" s="277"/>
      <c r="AP286" s="303"/>
      <c r="AQ286" s="303"/>
      <c r="AR286" s="304"/>
      <c r="AS286" s="303"/>
      <c r="AT286" s="303"/>
      <c r="AU286" s="303"/>
      <c r="AV286" s="303"/>
      <c r="AW286" s="213"/>
      <c r="AX286" s="213"/>
      <c r="AY286" s="213"/>
      <c r="AZ286" s="213"/>
      <c r="BA286" s="213"/>
      <c r="BB286" s="213"/>
      <c r="BC286" s="213"/>
      <c r="BD286" s="213"/>
      <c r="BE286" s="213"/>
      <c r="BF286" s="213"/>
      <c r="BG286" s="213"/>
      <c r="BH286" s="213"/>
      <c r="BI286" s="213"/>
      <c r="BJ286" s="213"/>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row>
    <row r="287" spans="1:243" ht="15.6">
      <c r="A287" s="170">
        <f>A286+1</f>
        <v>174</v>
      </c>
      <c r="B287" s="327">
        <f>B271</f>
        <v>346</v>
      </c>
      <c r="C287" s="907">
        <v>0</v>
      </c>
      <c r="D287" s="603">
        <f t="shared" si="59"/>
        <v>0</v>
      </c>
      <c r="E287" s="603">
        <f t="shared" si="59"/>
        <v>0</v>
      </c>
      <c r="F287" s="603">
        <f t="shared" si="59"/>
        <v>0</v>
      </c>
      <c r="G287" s="603">
        <f t="shared" si="59"/>
        <v>0</v>
      </c>
      <c r="H287" s="603">
        <f t="shared" si="59"/>
        <v>0</v>
      </c>
      <c r="I287" s="603">
        <f t="shared" si="59"/>
        <v>0</v>
      </c>
      <c r="J287" s="603">
        <f t="shared" si="59"/>
        <v>0</v>
      </c>
      <c r="K287" s="603">
        <f t="shared" si="59"/>
        <v>0</v>
      </c>
      <c r="L287" s="603">
        <f t="shared" si="59"/>
        <v>0</v>
      </c>
      <c r="M287" s="603">
        <f t="shared" si="59"/>
        <v>0</v>
      </c>
      <c r="N287" s="603">
        <f t="shared" si="59"/>
        <v>0</v>
      </c>
      <c r="O287" s="603">
        <f t="shared" si="59"/>
        <v>0</v>
      </c>
      <c r="P287" s="333">
        <f>O287</f>
        <v>0</v>
      </c>
      <c r="S287" s="277"/>
      <c r="T287" s="277"/>
      <c r="U287" s="277"/>
      <c r="V287" s="277"/>
      <c r="W287" s="277"/>
      <c r="X287" s="277"/>
      <c r="Y287" s="277"/>
      <c r="Z287" s="277"/>
      <c r="AA287" s="277"/>
      <c r="AB287" s="277"/>
      <c r="AC287" s="277"/>
      <c r="AD287" s="277"/>
      <c r="AE287" s="277"/>
      <c r="AF287" s="277"/>
      <c r="AG287" s="277"/>
      <c r="AH287" s="277"/>
      <c r="AI287" s="277"/>
      <c r="AJ287" s="216"/>
      <c r="AK287" s="304"/>
      <c r="AL287" s="303"/>
      <c r="AM287" s="216"/>
      <c r="AN287" s="304"/>
      <c r="AO287" s="277"/>
      <c r="AP287" s="303"/>
      <c r="AQ287" s="303"/>
      <c r="AR287" s="304"/>
      <c r="AS287" s="303"/>
      <c r="AT287" s="303"/>
      <c r="AU287" s="303"/>
      <c r="AV287" s="303"/>
      <c r="AW287" s="213"/>
      <c r="AX287" s="213"/>
      <c r="AY287" s="213"/>
      <c r="AZ287" s="213"/>
      <c r="BA287" s="213"/>
      <c r="BB287" s="213"/>
      <c r="BC287" s="213"/>
      <c r="BD287" s="213"/>
      <c r="BE287" s="213"/>
      <c r="BF287" s="213"/>
      <c r="BG287" s="213"/>
      <c r="BH287" s="213"/>
      <c r="BI287" s="213"/>
      <c r="BJ287" s="213"/>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row>
    <row r="288" spans="1:243" ht="15.6">
      <c r="A288" s="355"/>
      <c r="B288" s="336"/>
      <c r="C288" s="287"/>
      <c r="D288" s="287"/>
      <c r="E288" s="287"/>
      <c r="F288" s="287"/>
      <c r="G288" s="287"/>
      <c r="H288" s="287"/>
      <c r="I288" s="287"/>
      <c r="J288" s="287"/>
      <c r="K288" s="334"/>
      <c r="L288" s="287"/>
      <c r="M288" s="287"/>
      <c r="N288" s="287"/>
      <c r="O288" s="287"/>
      <c r="P288" s="339"/>
      <c r="S288" s="277"/>
      <c r="T288" s="277"/>
      <c r="U288" s="277"/>
      <c r="V288" s="277"/>
      <c r="W288" s="277"/>
      <c r="X288" s="277"/>
      <c r="Y288" s="277"/>
      <c r="Z288" s="277"/>
      <c r="AA288" s="277"/>
      <c r="AB288" s="277"/>
      <c r="AC288" s="277"/>
      <c r="AD288" s="277"/>
      <c r="AE288" s="277"/>
      <c r="AF288" s="277"/>
      <c r="AG288" s="277"/>
      <c r="AH288" s="277"/>
      <c r="AI288" s="277"/>
      <c r="AJ288" s="216"/>
      <c r="AK288" s="304"/>
      <c r="AL288" s="303"/>
      <c r="AM288" s="216"/>
      <c r="AN288" s="304"/>
      <c r="AO288" s="277"/>
      <c r="AP288" s="303"/>
      <c r="AQ288" s="303"/>
      <c r="AR288" s="304"/>
      <c r="AS288" s="303"/>
      <c r="AT288" s="303"/>
      <c r="AU288" s="303"/>
      <c r="AV288" s="303"/>
      <c r="AW288" s="213"/>
      <c r="AX288" s="213"/>
      <c r="AY288" s="213"/>
      <c r="AZ288" s="213"/>
      <c r="BA288" s="213"/>
      <c r="BB288" s="213"/>
      <c r="BC288" s="213"/>
      <c r="BD288" s="213"/>
      <c r="BE288" s="213"/>
      <c r="BF288" s="213"/>
      <c r="BG288" s="213"/>
      <c r="BH288" s="213"/>
      <c r="BI288" s="213"/>
      <c r="BJ288" s="213"/>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row>
    <row r="289" spans="1:243" ht="15.6">
      <c r="A289" s="336" t="s">
        <v>713</v>
      </c>
      <c r="B289" s="342"/>
      <c r="C289" s="341" t="s">
        <v>476</v>
      </c>
      <c r="D289" s="287"/>
      <c r="E289" s="287"/>
      <c r="F289" s="287"/>
      <c r="G289" s="287"/>
      <c r="H289" s="287"/>
      <c r="I289" s="287"/>
      <c r="J289" s="287"/>
      <c r="K289" s="334"/>
      <c r="L289" s="287"/>
      <c r="M289" s="287"/>
      <c r="N289" s="287"/>
      <c r="O289" s="287"/>
      <c r="P289" s="339"/>
      <c r="S289" s="277"/>
      <c r="T289" s="277"/>
      <c r="U289" s="277"/>
      <c r="V289" s="277"/>
      <c r="W289" s="277"/>
      <c r="X289" s="277"/>
      <c r="Y289" s="277"/>
      <c r="Z289" s="277"/>
      <c r="AA289" s="277"/>
      <c r="AB289" s="277"/>
      <c r="AC289" s="277"/>
      <c r="AD289" s="277"/>
      <c r="AE289" s="277"/>
      <c r="AF289" s="277"/>
      <c r="AG289" s="277"/>
      <c r="AH289" s="277"/>
      <c r="AI289" s="277"/>
      <c r="AJ289" s="216"/>
      <c r="AK289" s="304"/>
      <c r="AL289" s="303"/>
      <c r="AM289" s="216"/>
      <c r="AN289" s="304"/>
      <c r="AO289" s="277"/>
      <c r="AP289" s="303"/>
      <c r="AQ289" s="303"/>
      <c r="AR289" s="304"/>
      <c r="AS289" s="303"/>
      <c r="AT289" s="303"/>
      <c r="AU289" s="303"/>
      <c r="AV289" s="303"/>
      <c r="AW289" s="213"/>
      <c r="AX289" s="213"/>
      <c r="AY289" s="213"/>
      <c r="AZ289" s="213"/>
      <c r="BA289" s="213"/>
      <c r="BB289" s="213"/>
      <c r="BC289" s="213"/>
      <c r="BD289" s="213"/>
      <c r="BE289" s="213"/>
      <c r="BF289" s="213"/>
      <c r="BG289" s="213"/>
      <c r="BH289" s="213"/>
      <c r="BI289" s="213"/>
      <c r="BJ289" s="213"/>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row>
    <row r="290" spans="1:243" ht="15.6">
      <c r="A290" s="355"/>
      <c r="B290" s="356"/>
      <c r="C290" s="287"/>
      <c r="D290" s="287"/>
      <c r="E290" s="287"/>
      <c r="F290" s="287"/>
      <c r="G290" s="287"/>
      <c r="H290" s="287"/>
      <c r="I290" s="287"/>
      <c r="J290" s="287"/>
      <c r="K290" s="334"/>
      <c r="L290" s="287"/>
      <c r="M290" s="287"/>
      <c r="N290" s="287"/>
      <c r="O290" s="287"/>
      <c r="P290" s="339"/>
      <c r="S290" s="277"/>
      <c r="T290" s="277"/>
      <c r="U290" s="277"/>
      <c r="V290" s="277"/>
      <c r="W290" s="277"/>
      <c r="X290" s="277"/>
      <c r="Y290" s="277"/>
      <c r="Z290" s="277"/>
      <c r="AA290" s="277"/>
      <c r="AB290" s="277"/>
      <c r="AC290" s="277"/>
      <c r="AD290" s="277"/>
      <c r="AE290" s="277"/>
      <c r="AF290" s="277"/>
      <c r="AG290" s="277"/>
      <c r="AH290" s="277"/>
      <c r="AI290" s="277"/>
      <c r="AJ290" s="216"/>
      <c r="AK290" s="304"/>
      <c r="AL290" s="303"/>
      <c r="AM290" s="216"/>
      <c r="AN290" s="304"/>
      <c r="AO290" s="277"/>
      <c r="AP290" s="303"/>
      <c r="AQ290" s="303"/>
      <c r="AR290" s="304"/>
      <c r="AS290" s="303"/>
      <c r="AT290" s="303"/>
      <c r="AU290" s="303"/>
      <c r="AV290" s="303"/>
      <c r="AW290" s="213"/>
      <c r="AX290" s="213"/>
      <c r="AY290" s="213"/>
      <c r="AZ290" s="213"/>
      <c r="BA290" s="213"/>
      <c r="BB290" s="213"/>
      <c r="BC290" s="213"/>
      <c r="BD290" s="213"/>
      <c r="BE290" s="213"/>
      <c r="BF290" s="213"/>
      <c r="BG290" s="213"/>
      <c r="BH290" s="213"/>
      <c r="BI290" s="213"/>
      <c r="BJ290" s="213"/>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row>
    <row r="291" spans="1:243" ht="18.600000000000001">
      <c r="A291" s="355" t="s">
        <v>494</v>
      </c>
      <c r="B291" s="355" t="s">
        <v>1078</v>
      </c>
      <c r="C291" s="334"/>
      <c r="D291" s="1778" t="s">
        <v>714</v>
      </c>
      <c r="E291" s="1779"/>
      <c r="F291" s="1779"/>
      <c r="G291" s="1779"/>
      <c r="H291" s="1779"/>
      <c r="I291" s="1779"/>
      <c r="J291" s="1779"/>
      <c r="K291" s="1779"/>
      <c r="L291" s="1779"/>
      <c r="M291" s="1779"/>
      <c r="N291" s="1779"/>
      <c r="O291" s="1779"/>
      <c r="P291" s="357"/>
      <c r="S291" s="277"/>
      <c r="T291" s="277"/>
      <c r="U291" s="277"/>
      <c r="V291" s="277"/>
      <c r="W291" s="277"/>
      <c r="X291" s="277"/>
      <c r="Y291" s="277"/>
      <c r="Z291" s="277"/>
      <c r="AA291" s="277"/>
      <c r="AB291" s="277"/>
      <c r="AC291" s="277"/>
      <c r="AD291" s="277"/>
      <c r="AE291" s="277"/>
      <c r="AF291" s="277"/>
      <c r="AG291" s="277"/>
      <c r="AH291" s="277"/>
      <c r="AI291" s="277"/>
      <c r="AJ291" s="216"/>
      <c r="AK291" s="304"/>
      <c r="AL291" s="303"/>
      <c r="AM291" s="216"/>
      <c r="AN291" s="304"/>
      <c r="AO291" s="277"/>
      <c r="AP291" s="303"/>
      <c r="AQ291" s="303"/>
      <c r="AR291" s="304"/>
      <c r="AS291" s="303"/>
      <c r="AT291" s="303"/>
      <c r="AU291" s="303"/>
      <c r="AV291" s="303"/>
      <c r="AW291" s="213"/>
      <c r="AX291" s="213"/>
      <c r="AY291" s="213"/>
      <c r="AZ291" s="213"/>
      <c r="BA291" s="213"/>
      <c r="BB291" s="213"/>
      <c r="BC291" s="213"/>
      <c r="BD291" s="213"/>
      <c r="BE291" s="213"/>
      <c r="BF291" s="213"/>
      <c r="BG291" s="213"/>
      <c r="BH291" s="213"/>
      <c r="BI291" s="213"/>
      <c r="BJ291" s="213"/>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row>
    <row r="292" spans="1:243" ht="15.6">
      <c r="A292" s="322" t="s">
        <v>928</v>
      </c>
      <c r="B292" s="322" t="s">
        <v>928</v>
      </c>
      <c r="C292" s="335"/>
      <c r="D292" s="358" t="s">
        <v>715</v>
      </c>
      <c r="E292" s="358" t="s">
        <v>716</v>
      </c>
      <c r="F292" s="358" t="s">
        <v>717</v>
      </c>
      <c r="G292" s="358" t="s">
        <v>718</v>
      </c>
      <c r="H292" s="358" t="s">
        <v>719</v>
      </c>
      <c r="I292" s="358" t="s">
        <v>720</v>
      </c>
      <c r="J292" s="358" t="s">
        <v>721</v>
      </c>
      <c r="K292" s="358" t="s">
        <v>722</v>
      </c>
      <c r="L292" s="358" t="s">
        <v>723</v>
      </c>
      <c r="M292" s="358" t="s">
        <v>724</v>
      </c>
      <c r="N292" s="358" t="s">
        <v>725</v>
      </c>
      <c r="O292" s="358" t="s">
        <v>726</v>
      </c>
      <c r="P292" s="359"/>
      <c r="S292" s="277"/>
      <c r="T292" s="277"/>
      <c r="U292" s="277"/>
      <c r="V292" s="277"/>
      <c r="W292" s="277"/>
      <c r="X292" s="277"/>
      <c r="Y292" s="277"/>
      <c r="Z292" s="277"/>
      <c r="AA292" s="277"/>
      <c r="AB292" s="277"/>
      <c r="AC292" s="277"/>
      <c r="AD292" s="277"/>
      <c r="AE292" s="277"/>
      <c r="AF292" s="277"/>
      <c r="AG292" s="277"/>
      <c r="AH292" s="277"/>
      <c r="AI292" s="277"/>
      <c r="AJ292" s="216"/>
      <c r="AK292" s="304"/>
      <c r="AL292" s="303"/>
      <c r="AM292" s="216"/>
      <c r="AN292" s="304"/>
      <c r="AO292" s="277"/>
      <c r="AP292" s="303"/>
      <c r="AQ292" s="303"/>
      <c r="AR292" s="304"/>
      <c r="AS292" s="303"/>
      <c r="AT292" s="303"/>
      <c r="AU292" s="303"/>
      <c r="AV292" s="303"/>
      <c r="AW292" s="213"/>
      <c r="AX292" s="213"/>
      <c r="AY292" s="213"/>
      <c r="AZ292" s="213"/>
      <c r="BA292" s="213"/>
      <c r="BB292" s="213"/>
      <c r="BC292" s="213"/>
      <c r="BD292" s="213"/>
      <c r="BE292" s="213"/>
      <c r="BF292" s="213"/>
      <c r="BG292" s="213"/>
      <c r="BH292" s="213"/>
      <c r="BI292" s="213"/>
      <c r="BJ292" s="213"/>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row>
    <row r="293" spans="1:243" ht="15.6">
      <c r="A293" s="170">
        <f>A287+1</f>
        <v>175</v>
      </c>
      <c r="B293" s="327">
        <v>341</v>
      </c>
      <c r="C293" s="287"/>
      <c r="D293" s="905">
        <v>0</v>
      </c>
      <c r="E293" s="905">
        <v>0</v>
      </c>
      <c r="F293" s="905">
        <v>0</v>
      </c>
      <c r="G293" s="905">
        <v>0</v>
      </c>
      <c r="H293" s="905">
        <v>0</v>
      </c>
      <c r="I293" s="905">
        <v>0</v>
      </c>
      <c r="J293" s="905">
        <v>0</v>
      </c>
      <c r="K293" s="905">
        <v>0</v>
      </c>
      <c r="L293" s="905">
        <v>0</v>
      </c>
      <c r="M293" s="905">
        <v>0</v>
      </c>
      <c r="N293" s="905">
        <v>0</v>
      </c>
      <c r="O293" s="905">
        <v>0</v>
      </c>
      <c r="P293" s="339"/>
      <c r="S293" s="277"/>
      <c r="T293" s="277"/>
      <c r="U293" s="277"/>
      <c r="V293" s="277"/>
      <c r="W293" s="277"/>
      <c r="X293" s="277"/>
      <c r="Y293" s="277"/>
      <c r="Z293" s="277"/>
      <c r="AA293" s="277"/>
      <c r="AB293" s="277"/>
      <c r="AC293" s="277"/>
      <c r="AD293" s="277"/>
      <c r="AE293" s="277"/>
      <c r="AF293" s="277"/>
      <c r="AG293" s="277"/>
      <c r="AH293" s="277"/>
      <c r="AI293" s="277"/>
      <c r="AJ293" s="216"/>
      <c r="AK293" s="304"/>
      <c r="AL293" s="303"/>
      <c r="AM293" s="216"/>
      <c r="AN293" s="304"/>
      <c r="AO293" s="277"/>
      <c r="AP293" s="303"/>
      <c r="AQ293" s="303"/>
      <c r="AR293" s="304"/>
      <c r="AS293" s="303"/>
      <c r="AT293" s="303"/>
      <c r="AU293" s="303"/>
      <c r="AV293" s="303"/>
      <c r="AW293" s="213"/>
      <c r="AX293" s="213"/>
      <c r="AY293" s="213"/>
      <c r="AZ293" s="213"/>
      <c r="BA293" s="213"/>
      <c r="BB293" s="213"/>
      <c r="BC293" s="213"/>
      <c r="BD293" s="213"/>
      <c r="BE293" s="213"/>
      <c r="BF293" s="213"/>
      <c r="BG293" s="213"/>
      <c r="BH293" s="213"/>
      <c r="BI293" s="213"/>
      <c r="BJ293" s="21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row>
    <row r="294" spans="1:243" ht="15.6">
      <c r="A294" s="170">
        <f>A293+1</f>
        <v>176</v>
      </c>
      <c r="B294" s="327">
        <v>342</v>
      </c>
      <c r="C294" s="287"/>
      <c r="D294" s="907">
        <v>0</v>
      </c>
      <c r="E294" s="907">
        <v>0</v>
      </c>
      <c r="F294" s="907">
        <v>0</v>
      </c>
      <c r="G294" s="907">
        <v>0</v>
      </c>
      <c r="H294" s="907">
        <v>0</v>
      </c>
      <c r="I294" s="907">
        <v>0</v>
      </c>
      <c r="J294" s="907">
        <v>0</v>
      </c>
      <c r="K294" s="907">
        <v>0</v>
      </c>
      <c r="L294" s="907">
        <v>0</v>
      </c>
      <c r="M294" s="907">
        <v>0</v>
      </c>
      <c r="N294" s="907">
        <v>0</v>
      </c>
      <c r="O294" s="907">
        <v>0</v>
      </c>
      <c r="P294" s="339"/>
      <c r="S294" s="277"/>
      <c r="T294" s="277"/>
      <c r="U294" s="277"/>
      <c r="V294" s="277"/>
      <c r="W294" s="277"/>
      <c r="X294" s="277"/>
      <c r="Y294" s="277"/>
      <c r="Z294" s="277"/>
      <c r="AA294" s="277"/>
      <c r="AB294" s="277"/>
      <c r="AC294" s="277"/>
      <c r="AD294" s="277"/>
      <c r="AE294" s="277"/>
      <c r="AF294" s="277"/>
      <c r="AG294" s="277"/>
      <c r="AH294" s="277"/>
      <c r="AI294" s="277"/>
      <c r="AJ294" s="216"/>
      <c r="AK294" s="304"/>
      <c r="AL294" s="303"/>
      <c r="AM294" s="216"/>
      <c r="AN294" s="304"/>
      <c r="AO294" s="277"/>
      <c r="AP294" s="303"/>
      <c r="AQ294" s="303"/>
      <c r="AR294" s="304"/>
      <c r="AS294" s="303"/>
      <c r="AT294" s="303"/>
      <c r="AU294" s="303"/>
      <c r="AV294" s="303"/>
      <c r="AW294" s="213"/>
      <c r="AX294" s="213"/>
      <c r="AY294" s="213"/>
      <c r="AZ294" s="213"/>
      <c r="BA294" s="213"/>
      <c r="BB294" s="213"/>
      <c r="BC294" s="213"/>
      <c r="BD294" s="213"/>
      <c r="BE294" s="213"/>
      <c r="BF294" s="213"/>
      <c r="BG294" s="213"/>
      <c r="BH294" s="213"/>
      <c r="BI294" s="213"/>
      <c r="BJ294" s="213"/>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row>
    <row r="295" spans="1:243" ht="15.6">
      <c r="A295" s="170">
        <f>A294+1</f>
        <v>177</v>
      </c>
      <c r="B295" s="327">
        <v>344</v>
      </c>
      <c r="C295" s="287"/>
      <c r="D295" s="907">
        <v>0</v>
      </c>
      <c r="E295" s="907">
        <v>0</v>
      </c>
      <c r="F295" s="907">
        <v>0</v>
      </c>
      <c r="G295" s="907">
        <v>0</v>
      </c>
      <c r="H295" s="907">
        <v>0</v>
      </c>
      <c r="I295" s="907">
        <v>0</v>
      </c>
      <c r="J295" s="907">
        <v>0</v>
      </c>
      <c r="K295" s="907">
        <v>0</v>
      </c>
      <c r="L295" s="907">
        <v>0</v>
      </c>
      <c r="M295" s="907">
        <v>0</v>
      </c>
      <c r="N295" s="907">
        <v>0</v>
      </c>
      <c r="O295" s="907">
        <v>0</v>
      </c>
      <c r="P295" s="339"/>
      <c r="S295" s="277"/>
      <c r="T295" s="277"/>
      <c r="U295" s="277"/>
      <c r="V295" s="277"/>
      <c r="W295" s="277"/>
      <c r="X295" s="277"/>
      <c r="Y295" s="277"/>
      <c r="Z295" s="277"/>
      <c r="AA295" s="277"/>
      <c r="AB295" s="277"/>
      <c r="AC295" s="277"/>
      <c r="AD295" s="277"/>
      <c r="AE295" s="277"/>
      <c r="AF295" s="277"/>
      <c r="AG295" s="277"/>
      <c r="AH295" s="277"/>
      <c r="AI295" s="277"/>
      <c r="AJ295" s="216"/>
      <c r="AK295" s="304"/>
      <c r="AL295" s="303"/>
      <c r="AM295" s="216"/>
      <c r="AN295" s="304"/>
      <c r="AO295" s="277"/>
      <c r="AP295" s="303"/>
      <c r="AQ295" s="303"/>
      <c r="AR295" s="304"/>
      <c r="AS295" s="303"/>
      <c r="AT295" s="303"/>
      <c r="AU295" s="303"/>
      <c r="AV295" s="303"/>
      <c r="AW295" s="213"/>
      <c r="AX295" s="213"/>
      <c r="AY295" s="213"/>
      <c r="AZ295" s="213"/>
      <c r="BA295" s="213"/>
      <c r="BB295" s="213"/>
      <c r="BC295" s="213"/>
      <c r="BD295" s="213"/>
      <c r="BE295" s="213"/>
      <c r="BF295" s="213"/>
      <c r="BG295" s="213"/>
      <c r="BH295" s="213"/>
      <c r="BI295" s="213"/>
      <c r="BJ295" s="213"/>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row>
    <row r="296" spans="1:243" ht="15.6">
      <c r="A296" s="170">
        <f>A295+1</f>
        <v>178</v>
      </c>
      <c r="B296" s="327">
        <v>345</v>
      </c>
      <c r="C296" s="287"/>
      <c r="D296" s="907">
        <v>0</v>
      </c>
      <c r="E296" s="907">
        <v>0</v>
      </c>
      <c r="F296" s="907">
        <v>0</v>
      </c>
      <c r="G296" s="907">
        <v>0</v>
      </c>
      <c r="H296" s="907">
        <v>0</v>
      </c>
      <c r="I296" s="907">
        <v>0</v>
      </c>
      <c r="J296" s="907">
        <v>0</v>
      </c>
      <c r="K296" s="907">
        <v>0</v>
      </c>
      <c r="L296" s="907">
        <v>0</v>
      </c>
      <c r="M296" s="907">
        <v>0</v>
      </c>
      <c r="N296" s="907">
        <v>0</v>
      </c>
      <c r="O296" s="907">
        <v>0</v>
      </c>
      <c r="P296" s="339"/>
      <c r="S296" s="277"/>
      <c r="T296" s="277"/>
      <c r="U296" s="277"/>
      <c r="V296" s="277"/>
      <c r="W296" s="277"/>
      <c r="X296" s="277"/>
      <c r="Y296" s="277"/>
      <c r="Z296" s="277"/>
      <c r="AA296" s="277"/>
      <c r="AB296" s="277"/>
      <c r="AC296" s="277"/>
      <c r="AD296" s="277"/>
      <c r="AE296" s="277"/>
      <c r="AF296" s="277"/>
      <c r="AG296" s="277"/>
      <c r="AH296" s="277"/>
      <c r="AI296" s="277"/>
      <c r="AJ296" s="216"/>
      <c r="AK296" s="304"/>
      <c r="AL296" s="303"/>
      <c r="AM296" s="216"/>
      <c r="AN296" s="304"/>
      <c r="AO296" s="277"/>
      <c r="AP296" s="303"/>
      <c r="AQ296" s="303"/>
      <c r="AR296" s="304"/>
      <c r="AS296" s="303"/>
      <c r="AT296" s="303"/>
      <c r="AU296" s="303"/>
      <c r="AV296" s="303"/>
      <c r="AW296" s="213"/>
      <c r="AX296" s="213"/>
      <c r="AY296" s="213"/>
      <c r="AZ296" s="213"/>
      <c r="BA296" s="213"/>
      <c r="BB296" s="213"/>
      <c r="BC296" s="213"/>
      <c r="BD296" s="213"/>
      <c r="BE296" s="213"/>
      <c r="BF296" s="213"/>
      <c r="BG296" s="213"/>
      <c r="BH296" s="213"/>
      <c r="BI296" s="213"/>
      <c r="BJ296" s="213"/>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row>
    <row r="297" spans="1:243" ht="15.6">
      <c r="A297" s="170">
        <f>A296+1</f>
        <v>179</v>
      </c>
      <c r="B297" s="327">
        <v>346</v>
      </c>
      <c r="C297" s="287"/>
      <c r="D297" s="907">
        <v>0</v>
      </c>
      <c r="E297" s="907">
        <v>0</v>
      </c>
      <c r="F297" s="907">
        <v>0</v>
      </c>
      <c r="G297" s="907">
        <v>0</v>
      </c>
      <c r="H297" s="907">
        <v>0</v>
      </c>
      <c r="I297" s="907">
        <v>0</v>
      </c>
      <c r="J297" s="907">
        <v>0</v>
      </c>
      <c r="K297" s="907">
        <v>0</v>
      </c>
      <c r="L297" s="907">
        <v>0</v>
      </c>
      <c r="M297" s="907">
        <v>0</v>
      </c>
      <c r="N297" s="907">
        <v>0</v>
      </c>
      <c r="O297" s="907">
        <v>0</v>
      </c>
      <c r="P297" s="339"/>
      <c r="S297" s="277"/>
      <c r="T297" s="277"/>
      <c r="U297" s="277"/>
      <c r="V297" s="277"/>
      <c r="W297" s="277"/>
      <c r="X297" s="277"/>
      <c r="Y297" s="277"/>
      <c r="Z297" s="277"/>
      <c r="AA297" s="277"/>
      <c r="AB297" s="277"/>
      <c r="AC297" s="277"/>
      <c r="AD297" s="277"/>
      <c r="AE297" s="277"/>
      <c r="AF297" s="277"/>
      <c r="AG297" s="277"/>
      <c r="AH297" s="277"/>
      <c r="AI297" s="277"/>
      <c r="AJ297" s="216"/>
      <c r="AK297" s="304"/>
      <c r="AL297" s="303"/>
      <c r="AM297" s="216"/>
      <c r="AN297" s="304"/>
      <c r="AO297" s="277"/>
      <c r="AP297" s="303"/>
      <c r="AQ297" s="303"/>
      <c r="AR297" s="304"/>
      <c r="AS297" s="303"/>
      <c r="AT297" s="303"/>
      <c r="AU297" s="303"/>
      <c r="AV297" s="303"/>
      <c r="AW297" s="213"/>
      <c r="AX297" s="213"/>
      <c r="AY297" s="213"/>
      <c r="AZ297" s="213"/>
      <c r="BA297" s="213"/>
      <c r="BB297" s="213"/>
      <c r="BC297" s="213"/>
      <c r="BD297" s="213"/>
      <c r="BE297" s="213"/>
      <c r="BF297" s="213"/>
      <c r="BG297" s="213"/>
      <c r="BH297" s="213"/>
      <c r="BI297" s="213"/>
      <c r="BJ297" s="213"/>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row>
    <row r="298" spans="1:243" ht="15.6">
      <c r="A298" s="355"/>
      <c r="B298" s="336"/>
      <c r="C298" s="287"/>
      <c r="D298" s="287"/>
      <c r="E298" s="287"/>
      <c r="F298" s="287"/>
      <c r="G298" s="287"/>
      <c r="H298" s="287"/>
      <c r="I298" s="287"/>
      <c r="J298" s="287"/>
      <c r="K298" s="334"/>
      <c r="L298" s="287"/>
      <c r="M298" s="287"/>
      <c r="N298" s="287"/>
      <c r="O298" s="287"/>
      <c r="P298" s="339"/>
      <c r="S298" s="277"/>
      <c r="T298" s="277"/>
      <c r="U298" s="277"/>
      <c r="V298" s="277"/>
      <c r="W298" s="277"/>
      <c r="X298" s="277"/>
      <c r="Y298" s="277"/>
      <c r="Z298" s="277"/>
      <c r="AA298" s="277"/>
      <c r="AB298" s="277"/>
      <c r="AC298" s="277"/>
      <c r="AD298" s="277"/>
      <c r="AE298" s="277"/>
      <c r="AF298" s="277"/>
      <c r="AG298" s="277"/>
      <c r="AH298" s="277"/>
      <c r="AI298" s="277"/>
      <c r="AJ298" s="216"/>
      <c r="AK298" s="304"/>
      <c r="AL298" s="303"/>
      <c r="AM298" s="216"/>
      <c r="AN298" s="304"/>
      <c r="AO298" s="277"/>
      <c r="AP298" s="303"/>
      <c r="AQ298" s="303"/>
      <c r="AR298" s="304"/>
      <c r="AS298" s="303"/>
      <c r="AT298" s="303"/>
      <c r="AU298" s="303"/>
      <c r="AV298" s="303"/>
      <c r="AW298" s="213"/>
      <c r="AX298" s="213"/>
      <c r="AY298" s="213"/>
      <c r="AZ298" s="213"/>
      <c r="BA298" s="213"/>
      <c r="BB298" s="213"/>
      <c r="BC298" s="213"/>
      <c r="BD298" s="213"/>
      <c r="BE298" s="213"/>
      <c r="BF298" s="213"/>
      <c r="BG298" s="213"/>
      <c r="BH298" s="213"/>
      <c r="BI298" s="213"/>
      <c r="BJ298" s="213"/>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row>
    <row r="299" spans="1:243" ht="18.600000000000001">
      <c r="A299" s="355"/>
      <c r="B299" s="355" t="s">
        <v>1078</v>
      </c>
      <c r="C299" s="334" t="s">
        <v>727</v>
      </c>
      <c r="D299" s="1778" t="s">
        <v>728</v>
      </c>
      <c r="E299" s="1779"/>
      <c r="F299" s="1779"/>
      <c r="G299" s="1779"/>
      <c r="H299" s="1779"/>
      <c r="I299" s="1779"/>
      <c r="J299" s="1779"/>
      <c r="K299" s="1779"/>
      <c r="L299" s="1779"/>
      <c r="M299" s="1779"/>
      <c r="N299" s="1779"/>
      <c r="O299" s="1779"/>
      <c r="P299" s="1779"/>
      <c r="S299" s="277"/>
      <c r="T299" s="277"/>
      <c r="U299" s="277"/>
      <c r="V299" s="277"/>
      <c r="W299" s="277"/>
      <c r="X299" s="277"/>
      <c r="Y299" s="277"/>
      <c r="Z299" s="277"/>
      <c r="AA299" s="277"/>
      <c r="AB299" s="277"/>
      <c r="AC299" s="277"/>
      <c r="AD299" s="277"/>
      <c r="AE299" s="277"/>
      <c r="AF299" s="277"/>
      <c r="AG299" s="277"/>
      <c r="AH299" s="277"/>
      <c r="AI299" s="277"/>
      <c r="AJ299" s="216"/>
      <c r="AK299" s="304"/>
      <c r="AL299" s="303"/>
      <c r="AM299" s="216"/>
      <c r="AN299" s="304"/>
      <c r="AO299" s="277"/>
      <c r="AP299" s="303"/>
      <c r="AQ299" s="303"/>
      <c r="AR299" s="304"/>
      <c r="AS299" s="303"/>
      <c r="AT299" s="303"/>
      <c r="AU299" s="303"/>
      <c r="AV299" s="303"/>
      <c r="AW299" s="213"/>
      <c r="AX299" s="213"/>
      <c r="AY299" s="213"/>
      <c r="AZ299" s="213"/>
      <c r="BA299" s="213"/>
      <c r="BB299" s="213"/>
      <c r="BC299" s="213"/>
      <c r="BD299" s="213"/>
      <c r="BE299" s="213"/>
      <c r="BF299" s="213"/>
      <c r="BG299" s="213"/>
      <c r="BH299" s="213"/>
      <c r="BI299" s="213"/>
      <c r="BJ299" s="213"/>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row>
    <row r="300" spans="1:243" ht="18.600000000000001">
      <c r="A300" s="322"/>
      <c r="B300" s="322" t="s">
        <v>928</v>
      </c>
      <c r="C300" s="335" t="s">
        <v>729</v>
      </c>
      <c r="D300" s="358" t="s">
        <v>716</v>
      </c>
      <c r="E300" s="358" t="s">
        <v>717</v>
      </c>
      <c r="F300" s="358" t="s">
        <v>718</v>
      </c>
      <c r="G300" s="358" t="s">
        <v>719</v>
      </c>
      <c r="H300" s="358" t="s">
        <v>720</v>
      </c>
      <c r="I300" s="358" t="s">
        <v>721</v>
      </c>
      <c r="J300" s="358" t="s">
        <v>722</v>
      </c>
      <c r="K300" s="358" t="s">
        <v>723</v>
      </c>
      <c r="L300" s="358" t="s">
        <v>724</v>
      </c>
      <c r="M300" s="358" t="s">
        <v>725</v>
      </c>
      <c r="N300" s="358" t="s">
        <v>726</v>
      </c>
      <c r="O300" s="358" t="s">
        <v>715</v>
      </c>
      <c r="P300" s="360" t="s">
        <v>468</v>
      </c>
      <c r="S300" s="277"/>
      <c r="T300" s="277"/>
      <c r="U300" s="277"/>
      <c r="V300" s="277"/>
      <c r="W300" s="277"/>
      <c r="X300" s="277"/>
      <c r="Y300" s="277"/>
      <c r="Z300" s="277"/>
      <c r="AA300" s="277"/>
      <c r="AB300" s="277"/>
      <c r="AC300" s="277"/>
      <c r="AD300" s="277"/>
      <c r="AE300" s="277"/>
      <c r="AF300" s="277"/>
      <c r="AG300" s="277"/>
      <c r="AH300" s="277"/>
      <c r="AI300" s="277"/>
      <c r="AJ300" s="216"/>
      <c r="AK300" s="304"/>
      <c r="AL300" s="303"/>
      <c r="AM300" s="216"/>
      <c r="AN300" s="304"/>
      <c r="AO300" s="277"/>
      <c r="AP300" s="303"/>
      <c r="AQ300" s="303"/>
      <c r="AR300" s="304"/>
      <c r="AS300" s="303"/>
      <c r="AT300" s="303"/>
      <c r="AU300" s="303"/>
      <c r="AV300" s="303"/>
      <c r="AW300" s="213"/>
      <c r="AX300" s="213"/>
      <c r="AY300" s="213"/>
      <c r="AZ300" s="213"/>
      <c r="BA300" s="213"/>
      <c r="BB300" s="213"/>
      <c r="BC300" s="213"/>
      <c r="BD300" s="213"/>
      <c r="BE300" s="213"/>
      <c r="BF300" s="213"/>
      <c r="BG300" s="213"/>
      <c r="BH300" s="213"/>
      <c r="BI300" s="213"/>
      <c r="BJ300" s="213"/>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row>
    <row r="301" spans="1:243" ht="15.6">
      <c r="A301" s="170">
        <f>A297+1</f>
        <v>180</v>
      </c>
      <c r="B301" s="327">
        <f>B293</f>
        <v>341</v>
      </c>
      <c r="C301" s="908"/>
      <c r="D301" s="603">
        <f>D293*$C301/100/12</f>
        <v>0</v>
      </c>
      <c r="E301" s="603">
        <f t="shared" ref="E301:O301" si="60">E293*$C301/100/12</f>
        <v>0</v>
      </c>
      <c r="F301" s="603">
        <f t="shared" si="60"/>
        <v>0</v>
      </c>
      <c r="G301" s="603">
        <f t="shared" si="60"/>
        <v>0</v>
      </c>
      <c r="H301" s="603">
        <f t="shared" si="60"/>
        <v>0</v>
      </c>
      <c r="I301" s="603">
        <f t="shared" si="60"/>
        <v>0</v>
      </c>
      <c r="J301" s="603">
        <f t="shared" si="60"/>
        <v>0</v>
      </c>
      <c r="K301" s="603">
        <f t="shared" si="60"/>
        <v>0</v>
      </c>
      <c r="L301" s="603">
        <f t="shared" si="60"/>
        <v>0</v>
      </c>
      <c r="M301" s="603">
        <f t="shared" si="60"/>
        <v>0</v>
      </c>
      <c r="N301" s="603">
        <f t="shared" si="60"/>
        <v>0</v>
      </c>
      <c r="O301" s="603">
        <f t="shared" si="60"/>
        <v>0</v>
      </c>
      <c r="P301" s="333">
        <f>SUM(D301:O301)</f>
        <v>0</v>
      </c>
      <c r="S301" s="277"/>
      <c r="T301" s="277"/>
      <c r="U301" s="277"/>
      <c r="V301" s="277"/>
      <c r="W301" s="277"/>
      <c r="X301" s="277"/>
      <c r="Y301" s="277"/>
      <c r="Z301" s="277"/>
      <c r="AA301" s="277"/>
      <c r="AB301" s="277"/>
      <c r="AC301" s="277"/>
      <c r="AD301" s="277"/>
      <c r="AE301" s="277"/>
      <c r="AF301" s="277"/>
      <c r="AG301" s="277"/>
      <c r="AH301" s="277"/>
      <c r="AI301" s="277"/>
      <c r="AJ301" s="216"/>
      <c r="AK301" s="304"/>
      <c r="AL301" s="303"/>
      <c r="AM301" s="216"/>
      <c r="AN301" s="304"/>
      <c r="AO301" s="277"/>
      <c r="AP301" s="303"/>
      <c r="AQ301" s="303"/>
      <c r="AR301" s="304"/>
      <c r="AS301" s="303"/>
      <c r="AT301" s="303"/>
      <c r="AU301" s="303"/>
      <c r="AV301" s="303"/>
      <c r="AW301" s="213"/>
      <c r="AX301" s="213"/>
      <c r="AY301" s="213"/>
      <c r="AZ301" s="213"/>
      <c r="BA301" s="213"/>
      <c r="BB301" s="213"/>
      <c r="BC301" s="213"/>
      <c r="BD301" s="213"/>
      <c r="BE301" s="213"/>
      <c r="BF301" s="213"/>
      <c r="BG301" s="213"/>
      <c r="BH301" s="213"/>
      <c r="BI301" s="213"/>
      <c r="BJ301" s="213"/>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row>
    <row r="302" spans="1:243" ht="15.6">
      <c r="A302" s="170">
        <f>A301+1</f>
        <v>181</v>
      </c>
      <c r="B302" s="327">
        <f>B294</f>
        <v>342</v>
      </c>
      <c r="C302" s="908"/>
      <c r="D302" s="603">
        <f t="shared" ref="D302:O305" si="61">D294*$C302/100/12</f>
        <v>0</v>
      </c>
      <c r="E302" s="603">
        <f t="shared" si="61"/>
        <v>0</v>
      </c>
      <c r="F302" s="603">
        <f t="shared" si="61"/>
        <v>0</v>
      </c>
      <c r="G302" s="603">
        <f t="shared" si="61"/>
        <v>0</v>
      </c>
      <c r="H302" s="603">
        <f t="shared" si="61"/>
        <v>0</v>
      </c>
      <c r="I302" s="603">
        <f t="shared" si="61"/>
        <v>0</v>
      </c>
      <c r="J302" s="603">
        <f t="shared" si="61"/>
        <v>0</v>
      </c>
      <c r="K302" s="603">
        <f t="shared" si="61"/>
        <v>0</v>
      </c>
      <c r="L302" s="603">
        <f t="shared" si="61"/>
        <v>0</v>
      </c>
      <c r="M302" s="603">
        <f t="shared" si="61"/>
        <v>0</v>
      </c>
      <c r="N302" s="603">
        <f t="shared" si="61"/>
        <v>0</v>
      </c>
      <c r="O302" s="603">
        <f t="shared" si="61"/>
        <v>0</v>
      </c>
      <c r="P302" s="333">
        <f>SUM(D302:O302)</f>
        <v>0</v>
      </c>
      <c r="S302" s="277"/>
      <c r="T302" s="277"/>
      <c r="U302" s="277"/>
      <c r="V302" s="277"/>
      <c r="W302" s="277"/>
      <c r="X302" s="277"/>
      <c r="Y302" s="277"/>
      <c r="Z302" s="277"/>
      <c r="AA302" s="277"/>
      <c r="AB302" s="277"/>
      <c r="AC302" s="277"/>
      <c r="AD302" s="277"/>
      <c r="AE302" s="277"/>
      <c r="AF302" s="277"/>
      <c r="AG302" s="277"/>
      <c r="AH302" s="277"/>
      <c r="AI302" s="277"/>
      <c r="AJ302" s="216"/>
      <c r="AK302" s="304"/>
      <c r="AL302" s="303"/>
      <c r="AM302" s="216"/>
      <c r="AN302" s="304"/>
      <c r="AO302" s="277"/>
      <c r="AP302" s="303"/>
      <c r="AQ302" s="303"/>
      <c r="AR302" s="304"/>
      <c r="AS302" s="303"/>
      <c r="AT302" s="303"/>
      <c r="AU302" s="303"/>
      <c r="AV302" s="303"/>
      <c r="AW302" s="213"/>
      <c r="AX302" s="213"/>
      <c r="AY302" s="213"/>
      <c r="AZ302" s="213"/>
      <c r="BA302" s="213"/>
      <c r="BB302" s="213"/>
      <c r="BC302" s="213"/>
      <c r="BD302" s="213"/>
      <c r="BE302" s="213"/>
      <c r="BF302" s="213"/>
      <c r="BG302" s="213"/>
      <c r="BH302" s="213"/>
      <c r="BI302" s="213"/>
      <c r="BJ302" s="213"/>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row>
    <row r="303" spans="1:243" ht="15.6">
      <c r="A303" s="170">
        <f>A302+1</f>
        <v>182</v>
      </c>
      <c r="B303" s="327">
        <f>B295</f>
        <v>344</v>
      </c>
      <c r="C303" s="908"/>
      <c r="D303" s="603">
        <f t="shared" si="61"/>
        <v>0</v>
      </c>
      <c r="E303" s="603">
        <f t="shared" si="61"/>
        <v>0</v>
      </c>
      <c r="F303" s="603">
        <f t="shared" si="61"/>
        <v>0</v>
      </c>
      <c r="G303" s="603">
        <f t="shared" si="61"/>
        <v>0</v>
      </c>
      <c r="H303" s="603">
        <f t="shared" si="61"/>
        <v>0</v>
      </c>
      <c r="I303" s="603">
        <f t="shared" si="61"/>
        <v>0</v>
      </c>
      <c r="J303" s="603">
        <f t="shared" si="61"/>
        <v>0</v>
      </c>
      <c r="K303" s="603">
        <f t="shared" si="61"/>
        <v>0</v>
      </c>
      <c r="L303" s="603">
        <f t="shared" si="61"/>
        <v>0</v>
      </c>
      <c r="M303" s="603">
        <f t="shared" si="61"/>
        <v>0</v>
      </c>
      <c r="N303" s="603">
        <f t="shared" si="61"/>
        <v>0</v>
      </c>
      <c r="O303" s="603">
        <f t="shared" si="61"/>
        <v>0</v>
      </c>
      <c r="P303" s="333">
        <f>SUM(D303:O303)</f>
        <v>0</v>
      </c>
      <c r="S303" s="277"/>
      <c r="T303" s="277"/>
      <c r="U303" s="277"/>
      <c r="V303" s="277"/>
      <c r="W303" s="277"/>
      <c r="X303" s="277"/>
      <c r="Y303" s="277"/>
      <c r="Z303" s="277"/>
      <c r="AA303" s="277"/>
      <c r="AB303" s="277"/>
      <c r="AC303" s="277"/>
      <c r="AD303" s="277"/>
      <c r="AE303" s="277"/>
      <c r="AF303" s="277"/>
      <c r="AG303" s="277"/>
      <c r="AH303" s="277"/>
      <c r="AI303" s="277"/>
      <c r="AJ303" s="216"/>
      <c r="AK303" s="304"/>
      <c r="AL303" s="303"/>
      <c r="AM303" s="216"/>
      <c r="AN303" s="304"/>
      <c r="AO303" s="277"/>
      <c r="AP303" s="303"/>
      <c r="AQ303" s="303"/>
      <c r="AR303" s="304"/>
      <c r="AS303" s="303"/>
      <c r="AT303" s="303"/>
      <c r="AU303" s="303"/>
      <c r="AV303" s="303"/>
      <c r="AW303" s="213"/>
      <c r="AX303" s="213"/>
      <c r="AY303" s="213"/>
      <c r="AZ303" s="213"/>
      <c r="BA303" s="213"/>
      <c r="BB303" s="213"/>
      <c r="BC303" s="213"/>
      <c r="BD303" s="213"/>
      <c r="BE303" s="213"/>
      <c r="BF303" s="213"/>
      <c r="BG303" s="213"/>
      <c r="BH303" s="213"/>
      <c r="BI303" s="213"/>
      <c r="BJ303" s="21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row>
    <row r="304" spans="1:243" ht="15.6">
      <c r="A304" s="170">
        <f>A303+1</f>
        <v>183</v>
      </c>
      <c r="B304" s="327">
        <f>B296</f>
        <v>345</v>
      </c>
      <c r="C304" s="908"/>
      <c r="D304" s="603">
        <f t="shared" si="61"/>
        <v>0</v>
      </c>
      <c r="E304" s="603">
        <f t="shared" si="61"/>
        <v>0</v>
      </c>
      <c r="F304" s="603">
        <f t="shared" si="61"/>
        <v>0</v>
      </c>
      <c r="G304" s="603">
        <f t="shared" si="61"/>
        <v>0</v>
      </c>
      <c r="H304" s="603">
        <f t="shared" si="61"/>
        <v>0</v>
      </c>
      <c r="I304" s="603">
        <f t="shared" si="61"/>
        <v>0</v>
      </c>
      <c r="J304" s="603">
        <f t="shared" si="61"/>
        <v>0</v>
      </c>
      <c r="K304" s="603">
        <f t="shared" si="61"/>
        <v>0</v>
      </c>
      <c r="L304" s="603">
        <f t="shared" si="61"/>
        <v>0</v>
      </c>
      <c r="M304" s="603">
        <f t="shared" si="61"/>
        <v>0</v>
      </c>
      <c r="N304" s="603">
        <f t="shared" si="61"/>
        <v>0</v>
      </c>
      <c r="O304" s="603">
        <f t="shared" si="61"/>
        <v>0</v>
      </c>
      <c r="P304" s="333">
        <f>SUM(D304:O304)</f>
        <v>0</v>
      </c>
      <c r="S304" s="277"/>
      <c r="T304" s="277"/>
      <c r="U304" s="277"/>
      <c r="V304" s="277"/>
      <c r="W304" s="277"/>
      <c r="X304" s="277"/>
      <c r="Y304" s="277"/>
      <c r="Z304" s="277"/>
      <c r="AA304" s="277"/>
      <c r="AB304" s="277"/>
      <c r="AC304" s="277"/>
      <c r="AD304" s="277"/>
      <c r="AE304" s="277"/>
      <c r="AF304" s="277"/>
      <c r="AG304" s="277"/>
      <c r="AH304" s="277"/>
      <c r="AI304" s="277"/>
      <c r="AJ304" s="216"/>
      <c r="AK304" s="304"/>
      <c r="AL304" s="303"/>
      <c r="AM304" s="216"/>
      <c r="AN304" s="304"/>
      <c r="AO304" s="277"/>
      <c r="AP304" s="303"/>
      <c r="AQ304" s="303"/>
      <c r="AR304" s="304"/>
      <c r="AS304" s="303"/>
      <c r="AT304" s="303"/>
      <c r="AU304" s="303"/>
      <c r="AV304" s="303"/>
      <c r="AW304" s="213"/>
      <c r="AX304" s="213"/>
      <c r="AY304" s="213"/>
      <c r="AZ304" s="213"/>
      <c r="BA304" s="213"/>
      <c r="BB304" s="213"/>
      <c r="BC304" s="213"/>
      <c r="BD304" s="213"/>
      <c r="BE304" s="213"/>
      <c r="BF304" s="213"/>
      <c r="BG304" s="213"/>
      <c r="BH304" s="213"/>
      <c r="BI304" s="213"/>
      <c r="BJ304" s="213"/>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row>
    <row r="305" spans="1:243" ht="15.6">
      <c r="A305" s="170">
        <f>A304+1</f>
        <v>184</v>
      </c>
      <c r="B305" s="327">
        <f>B297</f>
        <v>346</v>
      </c>
      <c r="C305" s="908"/>
      <c r="D305" s="603">
        <f t="shared" si="61"/>
        <v>0</v>
      </c>
      <c r="E305" s="603">
        <f t="shared" si="61"/>
        <v>0</v>
      </c>
      <c r="F305" s="603">
        <f t="shared" si="61"/>
        <v>0</v>
      </c>
      <c r="G305" s="603">
        <f t="shared" si="61"/>
        <v>0</v>
      </c>
      <c r="H305" s="603">
        <f t="shared" si="61"/>
        <v>0</v>
      </c>
      <c r="I305" s="603">
        <f t="shared" si="61"/>
        <v>0</v>
      </c>
      <c r="J305" s="603">
        <f t="shared" si="61"/>
        <v>0</v>
      </c>
      <c r="K305" s="603">
        <f t="shared" si="61"/>
        <v>0</v>
      </c>
      <c r="L305" s="603">
        <f t="shared" si="61"/>
        <v>0</v>
      </c>
      <c r="M305" s="603">
        <f t="shared" si="61"/>
        <v>0</v>
      </c>
      <c r="N305" s="603">
        <f t="shared" si="61"/>
        <v>0</v>
      </c>
      <c r="O305" s="603">
        <f t="shared" si="61"/>
        <v>0</v>
      </c>
      <c r="P305" s="333">
        <f>SUM(D305:O305)</f>
        <v>0</v>
      </c>
      <c r="S305" s="277"/>
      <c r="T305" s="277"/>
      <c r="U305" s="277"/>
      <c r="V305" s="277"/>
      <c r="W305" s="277"/>
      <c r="X305" s="277"/>
      <c r="Y305" s="277"/>
      <c r="Z305" s="277"/>
      <c r="AA305" s="277"/>
      <c r="AB305" s="277"/>
      <c r="AC305" s="277"/>
      <c r="AD305" s="277"/>
      <c r="AE305" s="277"/>
      <c r="AF305" s="277"/>
      <c r="AG305" s="277"/>
      <c r="AH305" s="277"/>
      <c r="AI305" s="277"/>
      <c r="AJ305" s="216"/>
      <c r="AK305" s="304"/>
      <c r="AL305" s="303"/>
      <c r="AM305" s="216"/>
      <c r="AN305" s="304"/>
      <c r="AO305" s="277"/>
      <c r="AP305" s="303"/>
      <c r="AQ305" s="303"/>
      <c r="AR305" s="304"/>
      <c r="AS305" s="303"/>
      <c r="AT305" s="303"/>
      <c r="AU305" s="303"/>
      <c r="AV305" s="303"/>
      <c r="AW305" s="213"/>
      <c r="AX305" s="213"/>
      <c r="AY305" s="213"/>
      <c r="AZ305" s="213"/>
      <c r="BA305" s="213"/>
      <c r="BB305" s="213"/>
      <c r="BC305" s="213"/>
      <c r="BD305" s="213"/>
      <c r="BE305" s="213"/>
      <c r="BF305" s="213"/>
      <c r="BG305" s="213"/>
      <c r="BH305" s="213"/>
      <c r="BI305" s="213"/>
      <c r="BJ305" s="213"/>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row>
    <row r="306" spans="1:243" ht="15.6">
      <c r="A306" s="355"/>
      <c r="B306" s="287"/>
      <c r="C306" s="287"/>
      <c r="D306" s="287"/>
      <c r="E306" s="287"/>
      <c r="F306" s="287"/>
      <c r="G306" s="287"/>
      <c r="H306" s="287"/>
      <c r="I306" s="287"/>
      <c r="J306" s="287"/>
      <c r="K306" s="334"/>
      <c r="L306" s="287"/>
      <c r="M306" s="287"/>
      <c r="N306" s="287"/>
      <c r="O306" s="287"/>
      <c r="P306" s="339"/>
      <c r="S306" s="277"/>
      <c r="T306" s="277"/>
      <c r="U306" s="277"/>
      <c r="V306" s="277"/>
      <c r="W306" s="277"/>
      <c r="X306" s="277"/>
      <c r="Y306" s="277"/>
      <c r="Z306" s="277"/>
      <c r="AA306" s="277"/>
      <c r="AB306" s="277"/>
      <c r="AC306" s="277"/>
      <c r="AD306" s="277"/>
      <c r="AE306" s="277"/>
      <c r="AF306" s="277"/>
      <c r="AG306" s="277"/>
      <c r="AH306" s="277"/>
      <c r="AI306" s="277"/>
      <c r="AJ306" s="216"/>
      <c r="AK306" s="304"/>
      <c r="AL306" s="303"/>
      <c r="AM306" s="216"/>
      <c r="AN306" s="304"/>
      <c r="AO306" s="277"/>
      <c r="AP306" s="303"/>
      <c r="AQ306" s="303"/>
      <c r="AR306" s="304"/>
      <c r="AS306" s="303"/>
      <c r="AT306" s="303"/>
      <c r="AU306" s="303"/>
      <c r="AV306" s="303"/>
      <c r="AW306" s="213"/>
      <c r="AX306" s="213"/>
      <c r="AY306" s="213"/>
      <c r="AZ306" s="213"/>
      <c r="BA306" s="213"/>
      <c r="BB306" s="213"/>
      <c r="BC306" s="213"/>
      <c r="BD306" s="213"/>
      <c r="BE306" s="213"/>
      <c r="BF306" s="213"/>
      <c r="BG306" s="213"/>
      <c r="BH306" s="213"/>
      <c r="BI306" s="213"/>
      <c r="BJ306" s="213"/>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row>
    <row r="307" spans="1:243" ht="18.600000000000001">
      <c r="A307" s="355"/>
      <c r="B307" s="355" t="s">
        <v>1078</v>
      </c>
      <c r="C307" s="334" t="s">
        <v>730</v>
      </c>
      <c r="D307" s="1778" t="s">
        <v>731</v>
      </c>
      <c r="E307" s="1779"/>
      <c r="F307" s="1779"/>
      <c r="G307" s="1779"/>
      <c r="H307" s="1779"/>
      <c r="I307" s="1779"/>
      <c r="J307" s="1779"/>
      <c r="K307" s="1779"/>
      <c r="L307" s="1779"/>
      <c r="M307" s="1779"/>
      <c r="N307" s="1779"/>
      <c r="O307" s="1779"/>
      <c r="P307" s="1779"/>
      <c r="S307" s="277"/>
      <c r="T307" s="277"/>
      <c r="U307" s="277"/>
      <c r="V307" s="277"/>
      <c r="W307" s="277"/>
      <c r="X307" s="277"/>
      <c r="Y307" s="277"/>
      <c r="Z307" s="277"/>
      <c r="AA307" s="277"/>
      <c r="AB307" s="277"/>
      <c r="AC307" s="277"/>
      <c r="AD307" s="277"/>
      <c r="AE307" s="277"/>
      <c r="AF307" s="277"/>
      <c r="AG307" s="277"/>
      <c r="AH307" s="277"/>
      <c r="AI307" s="277"/>
      <c r="AJ307" s="216"/>
      <c r="AK307" s="304"/>
      <c r="AL307" s="303"/>
      <c r="AM307" s="216"/>
      <c r="AN307" s="304"/>
      <c r="AO307" s="277"/>
      <c r="AP307" s="303"/>
      <c r="AQ307" s="303"/>
      <c r="AR307" s="304"/>
      <c r="AS307" s="303"/>
      <c r="AT307" s="303"/>
      <c r="AU307" s="303"/>
      <c r="AV307" s="303"/>
      <c r="AW307" s="213"/>
      <c r="AX307" s="213"/>
      <c r="AY307" s="213"/>
      <c r="AZ307" s="213"/>
      <c r="BA307" s="213"/>
      <c r="BB307" s="213"/>
      <c r="BC307" s="213"/>
      <c r="BD307" s="213"/>
      <c r="BE307" s="213"/>
      <c r="BF307" s="213"/>
      <c r="BG307" s="213"/>
      <c r="BH307" s="213"/>
      <c r="BI307" s="213"/>
      <c r="BJ307" s="213"/>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row>
    <row r="308" spans="1:243" ht="18.600000000000001">
      <c r="A308" s="355"/>
      <c r="B308" s="322" t="s">
        <v>928</v>
      </c>
      <c r="C308" s="335" t="s">
        <v>732</v>
      </c>
      <c r="D308" s="358" t="s">
        <v>716</v>
      </c>
      <c r="E308" s="358" t="s">
        <v>717</v>
      </c>
      <c r="F308" s="358" t="s">
        <v>718</v>
      </c>
      <c r="G308" s="358" t="s">
        <v>719</v>
      </c>
      <c r="H308" s="358" t="s">
        <v>720</v>
      </c>
      <c r="I308" s="358" t="s">
        <v>721</v>
      </c>
      <c r="J308" s="358" t="s">
        <v>722</v>
      </c>
      <c r="K308" s="358" t="s">
        <v>723</v>
      </c>
      <c r="L308" s="358" t="s">
        <v>724</v>
      </c>
      <c r="M308" s="358" t="s">
        <v>725</v>
      </c>
      <c r="N308" s="358" t="s">
        <v>726</v>
      </c>
      <c r="O308" s="358" t="s">
        <v>715</v>
      </c>
      <c r="P308" s="360" t="s">
        <v>628</v>
      </c>
      <c r="S308" s="277"/>
      <c r="T308" s="277"/>
      <c r="U308" s="277"/>
      <c r="V308" s="277"/>
      <c r="W308" s="277"/>
      <c r="X308" s="277"/>
      <c r="Y308" s="277"/>
      <c r="Z308" s="277"/>
      <c r="AA308" s="277"/>
      <c r="AB308" s="277"/>
      <c r="AC308" s="277"/>
      <c r="AD308" s="277"/>
      <c r="AE308" s="277"/>
      <c r="AF308" s="277"/>
      <c r="AG308" s="277"/>
      <c r="AH308" s="277"/>
      <c r="AI308" s="277"/>
      <c r="AJ308" s="216"/>
      <c r="AK308" s="304"/>
      <c r="AL308" s="303"/>
      <c r="AM308" s="216"/>
      <c r="AN308" s="304"/>
      <c r="AO308" s="277"/>
      <c r="AP308" s="303"/>
      <c r="AQ308" s="303"/>
      <c r="AR308" s="304"/>
      <c r="AS308" s="303"/>
      <c r="AT308" s="303"/>
      <c r="AU308" s="303"/>
      <c r="AV308" s="303"/>
      <c r="AW308" s="213"/>
      <c r="AX308" s="213"/>
      <c r="AY308" s="213"/>
      <c r="AZ308" s="213"/>
      <c r="BA308" s="213"/>
      <c r="BB308" s="213"/>
      <c r="BC308" s="213"/>
      <c r="BD308" s="213"/>
      <c r="BE308" s="213"/>
      <c r="BF308" s="213"/>
      <c r="BG308" s="213"/>
      <c r="BH308" s="213"/>
      <c r="BI308" s="213"/>
      <c r="BJ308" s="213"/>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row>
    <row r="309" spans="1:243" ht="15.6">
      <c r="A309" s="170">
        <f>A305+1</f>
        <v>185</v>
      </c>
      <c r="B309" s="327">
        <f>B293</f>
        <v>341</v>
      </c>
      <c r="C309" s="907">
        <v>0</v>
      </c>
      <c r="D309" s="603">
        <f>C309+D301</f>
        <v>0</v>
      </c>
      <c r="E309" s="603">
        <f t="shared" ref="E309:O313" si="62">D309+E301</f>
        <v>0</v>
      </c>
      <c r="F309" s="603">
        <f t="shared" si="62"/>
        <v>0</v>
      </c>
      <c r="G309" s="603">
        <f t="shared" si="62"/>
        <v>0</v>
      </c>
      <c r="H309" s="603">
        <f t="shared" si="62"/>
        <v>0</v>
      </c>
      <c r="I309" s="603">
        <f t="shared" si="62"/>
        <v>0</v>
      </c>
      <c r="J309" s="603">
        <f t="shared" si="62"/>
        <v>0</v>
      </c>
      <c r="K309" s="603">
        <f t="shared" si="62"/>
        <v>0</v>
      </c>
      <c r="L309" s="603">
        <f t="shared" si="62"/>
        <v>0</v>
      </c>
      <c r="M309" s="603">
        <f t="shared" si="62"/>
        <v>0</v>
      </c>
      <c r="N309" s="603">
        <f t="shared" si="62"/>
        <v>0</v>
      </c>
      <c r="O309" s="603">
        <f t="shared" si="62"/>
        <v>0</v>
      </c>
      <c r="P309" s="333">
        <f>O309</f>
        <v>0</v>
      </c>
      <c r="S309" s="277"/>
      <c r="T309" s="277"/>
      <c r="U309" s="277"/>
      <c r="V309" s="277"/>
      <c r="W309" s="277"/>
      <c r="X309" s="277"/>
      <c r="Y309" s="277"/>
      <c r="Z309" s="277"/>
      <c r="AA309" s="277"/>
      <c r="AB309" s="277"/>
      <c r="AC309" s="277"/>
      <c r="AD309" s="277"/>
      <c r="AE309" s="277"/>
      <c r="AF309" s="277"/>
      <c r="AG309" s="277"/>
      <c r="AH309" s="277"/>
      <c r="AI309" s="277"/>
      <c r="AJ309" s="216"/>
      <c r="AK309" s="304"/>
      <c r="AL309" s="303"/>
      <c r="AM309" s="216"/>
      <c r="AN309" s="304"/>
      <c r="AO309" s="277"/>
      <c r="AP309" s="303"/>
      <c r="AQ309" s="303"/>
      <c r="AR309" s="304"/>
      <c r="AS309" s="303"/>
      <c r="AT309" s="303"/>
      <c r="AU309" s="303"/>
      <c r="AV309" s="303"/>
      <c r="AW309" s="213"/>
      <c r="AX309" s="213"/>
      <c r="AY309" s="213"/>
      <c r="AZ309" s="213"/>
      <c r="BA309" s="213"/>
      <c r="BB309" s="213"/>
      <c r="BC309" s="213"/>
      <c r="BD309" s="213"/>
      <c r="BE309" s="213"/>
      <c r="BF309" s="213"/>
      <c r="BG309" s="213"/>
      <c r="BH309" s="213"/>
      <c r="BI309" s="213"/>
      <c r="BJ309" s="213"/>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row>
    <row r="310" spans="1:243" ht="15.6">
      <c r="A310" s="170">
        <f>A309+1</f>
        <v>186</v>
      </c>
      <c r="B310" s="327">
        <f>B294</f>
        <v>342</v>
      </c>
      <c r="C310" s="907">
        <v>0</v>
      </c>
      <c r="D310" s="603">
        <f>C310+D302</f>
        <v>0</v>
      </c>
      <c r="E310" s="603">
        <f t="shared" si="62"/>
        <v>0</v>
      </c>
      <c r="F310" s="603">
        <f t="shared" si="62"/>
        <v>0</v>
      </c>
      <c r="G310" s="603">
        <f t="shared" si="62"/>
        <v>0</v>
      </c>
      <c r="H310" s="603">
        <f t="shared" si="62"/>
        <v>0</v>
      </c>
      <c r="I310" s="603">
        <f t="shared" si="62"/>
        <v>0</v>
      </c>
      <c r="J310" s="603">
        <f t="shared" si="62"/>
        <v>0</v>
      </c>
      <c r="K310" s="603">
        <f t="shared" si="62"/>
        <v>0</v>
      </c>
      <c r="L310" s="603">
        <f t="shared" si="62"/>
        <v>0</v>
      </c>
      <c r="M310" s="603">
        <f t="shared" si="62"/>
        <v>0</v>
      </c>
      <c r="N310" s="603">
        <f t="shared" si="62"/>
        <v>0</v>
      </c>
      <c r="O310" s="603">
        <f t="shared" si="62"/>
        <v>0</v>
      </c>
      <c r="P310" s="333">
        <f>O310</f>
        <v>0</v>
      </c>
      <c r="S310" s="277"/>
      <c r="T310" s="277"/>
      <c r="U310" s="277"/>
      <c r="V310" s="277"/>
      <c r="W310" s="277"/>
      <c r="X310" s="277"/>
      <c r="Y310" s="277"/>
      <c r="Z310" s="277"/>
      <c r="AA310" s="277"/>
      <c r="AB310" s="277"/>
      <c r="AC310" s="277"/>
      <c r="AD310" s="277"/>
      <c r="AE310" s="277"/>
      <c r="AF310" s="277"/>
      <c r="AG310" s="277"/>
      <c r="AH310" s="277"/>
      <c r="AI310" s="277"/>
      <c r="AJ310" s="216"/>
      <c r="AK310" s="304"/>
      <c r="AL310" s="303"/>
      <c r="AM310" s="216"/>
      <c r="AN310" s="304"/>
      <c r="AO310" s="277"/>
      <c r="AP310" s="303"/>
      <c r="AQ310" s="303"/>
      <c r="AR310" s="304"/>
      <c r="AS310" s="303"/>
      <c r="AT310" s="303"/>
      <c r="AU310" s="303"/>
      <c r="AV310" s="303"/>
      <c r="AW310" s="213"/>
      <c r="AX310" s="213"/>
      <c r="AY310" s="213"/>
      <c r="AZ310" s="213"/>
      <c r="BA310" s="213"/>
      <c r="BB310" s="213"/>
      <c r="BC310" s="213"/>
      <c r="BD310" s="213"/>
      <c r="BE310" s="213"/>
      <c r="BF310" s="213"/>
      <c r="BG310" s="213"/>
      <c r="BH310" s="213"/>
      <c r="BI310" s="213"/>
      <c r="BJ310" s="213"/>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row>
    <row r="311" spans="1:243" ht="15.6">
      <c r="A311" s="170">
        <f>A310+1</f>
        <v>187</v>
      </c>
      <c r="B311" s="327">
        <f>B295</f>
        <v>344</v>
      </c>
      <c r="C311" s="907">
        <v>0</v>
      </c>
      <c r="D311" s="603">
        <f>C311+D303</f>
        <v>0</v>
      </c>
      <c r="E311" s="603">
        <f t="shared" si="62"/>
        <v>0</v>
      </c>
      <c r="F311" s="603">
        <f t="shared" si="62"/>
        <v>0</v>
      </c>
      <c r="G311" s="603">
        <f t="shared" si="62"/>
        <v>0</v>
      </c>
      <c r="H311" s="603">
        <f t="shared" si="62"/>
        <v>0</v>
      </c>
      <c r="I311" s="603">
        <f t="shared" si="62"/>
        <v>0</v>
      </c>
      <c r="J311" s="603">
        <f t="shared" si="62"/>
        <v>0</v>
      </c>
      <c r="K311" s="603">
        <f t="shared" si="62"/>
        <v>0</v>
      </c>
      <c r="L311" s="603">
        <f t="shared" si="62"/>
        <v>0</v>
      </c>
      <c r="M311" s="603">
        <f t="shared" si="62"/>
        <v>0</v>
      </c>
      <c r="N311" s="603">
        <f t="shared" si="62"/>
        <v>0</v>
      </c>
      <c r="O311" s="603">
        <f t="shared" si="62"/>
        <v>0</v>
      </c>
      <c r="P311" s="333">
        <f>O311</f>
        <v>0</v>
      </c>
      <c r="S311" s="277"/>
      <c r="T311" s="277"/>
      <c r="U311" s="277"/>
      <c r="V311" s="277"/>
      <c r="W311" s="277"/>
      <c r="X311" s="277"/>
      <c r="Y311" s="277"/>
      <c r="Z311" s="277"/>
      <c r="AA311" s="277"/>
      <c r="AB311" s="277"/>
      <c r="AC311" s="277"/>
      <c r="AD311" s="277"/>
      <c r="AE311" s="277"/>
      <c r="AF311" s="277"/>
      <c r="AG311" s="277"/>
      <c r="AH311" s="277"/>
      <c r="AI311" s="277"/>
      <c r="AJ311" s="216"/>
      <c r="AK311" s="304"/>
      <c r="AL311" s="303"/>
      <c r="AM311" s="216"/>
      <c r="AN311" s="304"/>
      <c r="AO311" s="277"/>
      <c r="AP311" s="303"/>
      <c r="AQ311" s="303"/>
      <c r="AR311" s="304"/>
      <c r="AS311" s="303"/>
      <c r="AT311" s="303"/>
      <c r="AU311" s="303"/>
      <c r="AV311" s="303"/>
      <c r="AW311" s="213"/>
      <c r="AX311" s="213"/>
      <c r="AY311" s="213"/>
      <c r="AZ311" s="213"/>
      <c r="BA311" s="213"/>
      <c r="BB311" s="213"/>
      <c r="BC311" s="213"/>
      <c r="BD311" s="213"/>
      <c r="BE311" s="213"/>
      <c r="BF311" s="213"/>
      <c r="BG311" s="213"/>
      <c r="BH311" s="213"/>
      <c r="BI311" s="213"/>
      <c r="BJ311" s="213"/>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row>
    <row r="312" spans="1:243" ht="15.6">
      <c r="A312" s="170">
        <f>A311+1</f>
        <v>188</v>
      </c>
      <c r="B312" s="327">
        <f>B296</f>
        <v>345</v>
      </c>
      <c r="C312" s="907">
        <v>0</v>
      </c>
      <c r="D312" s="603">
        <f>C312+D304</f>
        <v>0</v>
      </c>
      <c r="E312" s="603">
        <f t="shared" si="62"/>
        <v>0</v>
      </c>
      <c r="F312" s="603">
        <f t="shared" si="62"/>
        <v>0</v>
      </c>
      <c r="G312" s="603">
        <f t="shared" si="62"/>
        <v>0</v>
      </c>
      <c r="H312" s="603">
        <f t="shared" si="62"/>
        <v>0</v>
      </c>
      <c r="I312" s="603">
        <f t="shared" si="62"/>
        <v>0</v>
      </c>
      <c r="J312" s="603">
        <f t="shared" si="62"/>
        <v>0</v>
      </c>
      <c r="K312" s="603">
        <f t="shared" si="62"/>
        <v>0</v>
      </c>
      <c r="L312" s="603">
        <f t="shared" si="62"/>
        <v>0</v>
      </c>
      <c r="M312" s="603">
        <f t="shared" si="62"/>
        <v>0</v>
      </c>
      <c r="N312" s="603">
        <f t="shared" si="62"/>
        <v>0</v>
      </c>
      <c r="O312" s="603">
        <f t="shared" si="62"/>
        <v>0</v>
      </c>
      <c r="P312" s="333">
        <f>O312</f>
        <v>0</v>
      </c>
      <c r="S312" s="277"/>
      <c r="T312" s="277"/>
      <c r="U312" s="277"/>
      <c r="V312" s="277"/>
      <c r="W312" s="277"/>
      <c r="X312" s="277"/>
      <c r="Y312" s="277"/>
      <c r="Z312" s="277"/>
      <c r="AA312" s="277"/>
      <c r="AB312" s="277"/>
      <c r="AC312" s="277"/>
      <c r="AD312" s="277"/>
      <c r="AE312" s="277"/>
      <c r="AF312" s="277"/>
      <c r="AG312" s="277"/>
      <c r="AH312" s="277"/>
      <c r="AI312" s="277"/>
      <c r="AJ312" s="216"/>
      <c r="AK312" s="304"/>
      <c r="AL312" s="303"/>
      <c r="AM312" s="216"/>
      <c r="AN312" s="304"/>
      <c r="AO312" s="277"/>
      <c r="AP312" s="303"/>
      <c r="AQ312" s="303"/>
      <c r="AR312" s="304"/>
      <c r="AS312" s="303"/>
      <c r="AT312" s="303"/>
      <c r="AU312" s="303"/>
      <c r="AV312" s="303"/>
      <c r="AW312" s="213"/>
      <c r="AX312" s="213"/>
      <c r="AY312" s="213"/>
      <c r="AZ312" s="213"/>
      <c r="BA312" s="213"/>
      <c r="BB312" s="213"/>
      <c r="BC312" s="213"/>
      <c r="BD312" s="213"/>
      <c r="BE312" s="213"/>
      <c r="BF312" s="213"/>
      <c r="BG312" s="213"/>
      <c r="BH312" s="213"/>
      <c r="BI312" s="213"/>
      <c r="BJ312" s="213"/>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row>
    <row r="313" spans="1:243" ht="15.6">
      <c r="A313" s="170">
        <f>A312+1</f>
        <v>189</v>
      </c>
      <c r="B313" s="327">
        <f>B297</f>
        <v>346</v>
      </c>
      <c r="C313" s="907">
        <v>0</v>
      </c>
      <c r="D313" s="603">
        <f>C313+D305</f>
        <v>0</v>
      </c>
      <c r="E313" s="603">
        <f t="shared" si="62"/>
        <v>0</v>
      </c>
      <c r="F313" s="603">
        <f t="shared" si="62"/>
        <v>0</v>
      </c>
      <c r="G313" s="603">
        <f t="shared" si="62"/>
        <v>0</v>
      </c>
      <c r="H313" s="603">
        <f t="shared" si="62"/>
        <v>0</v>
      </c>
      <c r="I313" s="603">
        <f t="shared" si="62"/>
        <v>0</v>
      </c>
      <c r="J313" s="603">
        <f t="shared" si="62"/>
        <v>0</v>
      </c>
      <c r="K313" s="603">
        <f t="shared" si="62"/>
        <v>0</v>
      </c>
      <c r="L313" s="603">
        <f t="shared" si="62"/>
        <v>0</v>
      </c>
      <c r="M313" s="603">
        <f t="shared" si="62"/>
        <v>0</v>
      </c>
      <c r="N313" s="603">
        <f t="shared" si="62"/>
        <v>0</v>
      </c>
      <c r="O313" s="603">
        <f t="shared" si="62"/>
        <v>0</v>
      </c>
      <c r="P313" s="333">
        <f>O313</f>
        <v>0</v>
      </c>
      <c r="S313" s="277"/>
      <c r="T313" s="277"/>
      <c r="U313" s="277"/>
      <c r="V313" s="277"/>
      <c r="W313" s="277"/>
      <c r="X313" s="277"/>
      <c r="Y313" s="277"/>
      <c r="Z313" s="277"/>
      <c r="AA313" s="277"/>
      <c r="AB313" s="277"/>
      <c r="AC313" s="277"/>
      <c r="AD313" s="277"/>
      <c r="AE313" s="277"/>
      <c r="AF313" s="277"/>
      <c r="AG313" s="277"/>
      <c r="AH313" s="277"/>
      <c r="AI313" s="277"/>
      <c r="AJ313" s="216"/>
      <c r="AK313" s="304"/>
      <c r="AL313" s="303"/>
      <c r="AM313" s="216"/>
      <c r="AN313" s="304"/>
      <c r="AO313" s="277"/>
      <c r="AP313" s="303"/>
      <c r="AQ313" s="303"/>
      <c r="AR313" s="304"/>
      <c r="AS313" s="303"/>
      <c r="AT313" s="303"/>
      <c r="AU313" s="303"/>
      <c r="AV313" s="303"/>
      <c r="AW313" s="213"/>
      <c r="AX313" s="213"/>
      <c r="AY313" s="213"/>
      <c r="AZ313" s="213"/>
      <c r="BA313" s="213"/>
      <c r="BB313" s="213"/>
      <c r="BC313" s="213"/>
      <c r="BD313" s="213"/>
      <c r="BE313" s="213"/>
      <c r="BF313" s="213"/>
      <c r="BG313" s="213"/>
      <c r="BH313" s="213"/>
      <c r="BI313" s="213"/>
      <c r="BJ313" s="2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row>
    <row r="314" spans="1:243" ht="15.6">
      <c r="A314" s="170"/>
      <c r="B314" s="327"/>
      <c r="C314" s="328"/>
      <c r="D314" s="328"/>
      <c r="E314" s="328"/>
      <c r="F314" s="328"/>
      <c r="G314" s="328"/>
      <c r="H314" s="328"/>
      <c r="I314" s="328"/>
      <c r="J314" s="328"/>
      <c r="K314" s="328"/>
      <c r="L314" s="328"/>
      <c r="M314" s="328"/>
      <c r="N314" s="328"/>
      <c r="O314" s="328"/>
      <c r="P314" s="333"/>
      <c r="S314" s="277"/>
      <c r="T314" s="277"/>
      <c r="U314" s="277"/>
      <c r="V314" s="277"/>
      <c r="W314" s="277"/>
      <c r="X314" s="277"/>
      <c r="Y314" s="277"/>
      <c r="Z314" s="277"/>
      <c r="AA314" s="277"/>
      <c r="AB314" s="277"/>
      <c r="AC314" s="277"/>
      <c r="AD314" s="277"/>
      <c r="AE314" s="277"/>
      <c r="AF314" s="277"/>
      <c r="AG314" s="277"/>
      <c r="AH314" s="277"/>
      <c r="AI314" s="277"/>
      <c r="AJ314" s="216"/>
      <c r="AK314" s="304"/>
      <c r="AL314" s="303"/>
      <c r="AM314" s="216"/>
      <c r="AN314" s="304"/>
      <c r="AO314" s="277"/>
      <c r="AP314" s="303"/>
      <c r="AQ314" s="303"/>
      <c r="AR314" s="304"/>
      <c r="AS314" s="303"/>
      <c r="AT314" s="303"/>
      <c r="AU314" s="303"/>
      <c r="AV314" s="303"/>
      <c r="AW314" s="213"/>
      <c r="AX314" s="213"/>
      <c r="AY314" s="213"/>
      <c r="AZ314" s="213"/>
      <c r="BA314" s="213"/>
      <c r="BB314" s="213"/>
      <c r="BC314" s="213"/>
      <c r="BD314" s="213"/>
      <c r="BE314" s="213"/>
      <c r="BF314" s="213"/>
      <c r="BG314" s="213"/>
      <c r="BH314" s="213"/>
      <c r="BI314" s="213"/>
      <c r="BJ314" s="213"/>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row>
    <row r="315" spans="1:243" ht="15.6">
      <c r="A315" s="336" t="s">
        <v>713</v>
      </c>
      <c r="B315" s="342"/>
      <c r="C315" s="341" t="s">
        <v>476</v>
      </c>
      <c r="D315" s="287"/>
      <c r="E315" s="287"/>
      <c r="F315" s="287"/>
      <c r="G315" s="287"/>
      <c r="H315" s="287"/>
      <c r="I315" s="287"/>
      <c r="J315" s="287"/>
      <c r="K315" s="334"/>
      <c r="L315" s="287"/>
      <c r="M315" s="287"/>
      <c r="N315" s="287"/>
      <c r="O315" s="287"/>
      <c r="P315" s="339"/>
      <c r="S315" s="277"/>
      <c r="T315" s="277"/>
      <c r="U315" s="277"/>
      <c r="V315" s="277"/>
      <c r="W315" s="277"/>
      <c r="X315" s="277"/>
      <c r="Y315" s="277"/>
      <c r="Z315" s="277"/>
      <c r="AA315" s="277"/>
      <c r="AB315" s="277"/>
      <c r="AC315" s="277"/>
      <c r="AD315" s="277"/>
      <c r="AE315" s="277"/>
      <c r="AF315" s="277"/>
      <c r="AG315" s="277"/>
      <c r="AH315" s="277"/>
      <c r="AI315" s="277"/>
      <c r="AJ315" s="216"/>
      <c r="AK315" s="304"/>
      <c r="AL315" s="303"/>
      <c r="AM315" s="216"/>
      <c r="AN315" s="304"/>
      <c r="AO315" s="277"/>
      <c r="AP315" s="303"/>
      <c r="AQ315" s="303"/>
      <c r="AR315" s="304"/>
      <c r="AS315" s="303"/>
      <c r="AT315" s="303"/>
      <c r="AU315" s="303"/>
      <c r="AV315" s="303"/>
      <c r="AW315" s="213"/>
      <c r="AX315" s="213"/>
      <c r="AY315" s="213"/>
      <c r="AZ315" s="213"/>
      <c r="BA315" s="213"/>
      <c r="BB315" s="213"/>
      <c r="BC315" s="213"/>
      <c r="BD315" s="213"/>
      <c r="BE315" s="213"/>
      <c r="BF315" s="213"/>
      <c r="BG315" s="213"/>
      <c r="BH315" s="213"/>
      <c r="BI315" s="213"/>
      <c r="BJ315" s="213"/>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row>
    <row r="316" spans="1:243" ht="15.6">
      <c r="A316" s="355"/>
      <c r="B316" s="356"/>
      <c r="C316" s="287"/>
      <c r="D316" s="287"/>
      <c r="E316" s="287"/>
      <c r="F316" s="287"/>
      <c r="G316" s="287"/>
      <c r="H316" s="287"/>
      <c r="I316" s="287"/>
      <c r="J316" s="287"/>
      <c r="K316" s="334"/>
      <c r="L316" s="287"/>
      <c r="M316" s="287"/>
      <c r="N316" s="287"/>
      <c r="O316" s="287"/>
      <c r="P316" s="339"/>
      <c r="S316" s="277"/>
      <c r="T316" s="277"/>
      <c r="U316" s="277"/>
      <c r="V316" s="277"/>
      <c r="W316" s="277"/>
      <c r="X316" s="277"/>
      <c r="Y316" s="277"/>
      <c r="Z316" s="277"/>
      <c r="AA316" s="277"/>
      <c r="AB316" s="277"/>
      <c r="AC316" s="277"/>
      <c r="AD316" s="277"/>
      <c r="AE316" s="277"/>
      <c r="AF316" s="277"/>
      <c r="AG316" s="277"/>
      <c r="AH316" s="277"/>
      <c r="AI316" s="277"/>
      <c r="AJ316" s="216"/>
      <c r="AK316" s="304"/>
      <c r="AL316" s="303"/>
      <c r="AM316" s="216"/>
      <c r="AN316" s="304"/>
      <c r="AO316" s="277"/>
      <c r="AP316" s="303"/>
      <c r="AQ316" s="303"/>
      <c r="AR316" s="304"/>
      <c r="AS316" s="303"/>
      <c r="AT316" s="303"/>
      <c r="AU316" s="303"/>
      <c r="AV316" s="303"/>
      <c r="AW316" s="213"/>
      <c r="AX316" s="213"/>
      <c r="AY316" s="213"/>
      <c r="AZ316" s="213"/>
      <c r="BA316" s="213"/>
      <c r="BB316" s="213"/>
      <c r="BC316" s="213"/>
      <c r="BD316" s="213"/>
      <c r="BE316" s="213"/>
      <c r="BF316" s="213"/>
      <c r="BG316" s="213"/>
      <c r="BH316" s="213"/>
      <c r="BI316" s="213"/>
      <c r="BJ316" s="213"/>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row>
    <row r="317" spans="1:243" ht="18.600000000000001">
      <c r="A317" s="355" t="s">
        <v>494</v>
      </c>
      <c r="B317" s="355" t="s">
        <v>1078</v>
      </c>
      <c r="C317" s="334"/>
      <c r="D317" s="1778" t="s">
        <v>714</v>
      </c>
      <c r="E317" s="1779"/>
      <c r="F317" s="1779"/>
      <c r="G317" s="1779"/>
      <c r="H317" s="1779"/>
      <c r="I317" s="1779"/>
      <c r="J317" s="1779"/>
      <c r="K317" s="1779"/>
      <c r="L317" s="1779"/>
      <c r="M317" s="1779"/>
      <c r="N317" s="1779"/>
      <c r="O317" s="1779"/>
      <c r="P317" s="357"/>
      <c r="S317" s="277"/>
      <c r="T317" s="277"/>
      <c r="U317" s="277"/>
      <c r="V317" s="277"/>
      <c r="W317" s="277"/>
      <c r="X317" s="277"/>
      <c r="Y317" s="277"/>
      <c r="Z317" s="277"/>
      <c r="AA317" s="277"/>
      <c r="AB317" s="277"/>
      <c r="AC317" s="277"/>
      <c r="AD317" s="277"/>
      <c r="AE317" s="277"/>
      <c r="AF317" s="277"/>
      <c r="AG317" s="277"/>
      <c r="AH317" s="277"/>
      <c r="AI317" s="277"/>
      <c r="AJ317" s="216"/>
      <c r="AK317" s="304"/>
      <c r="AL317" s="303"/>
      <c r="AM317" s="216"/>
      <c r="AN317" s="304"/>
      <c r="AO317" s="277"/>
      <c r="AP317" s="303"/>
      <c r="AQ317" s="303"/>
      <c r="AR317" s="304"/>
      <c r="AS317" s="303"/>
      <c r="AT317" s="303"/>
      <c r="AU317" s="303"/>
      <c r="AV317" s="303"/>
      <c r="AW317" s="213"/>
      <c r="AX317" s="213"/>
      <c r="AY317" s="213"/>
      <c r="AZ317" s="213"/>
      <c r="BA317" s="213"/>
      <c r="BB317" s="213"/>
      <c r="BC317" s="213"/>
      <c r="BD317" s="213"/>
      <c r="BE317" s="213"/>
      <c r="BF317" s="213"/>
      <c r="BG317" s="213"/>
      <c r="BH317" s="213"/>
      <c r="BI317" s="213"/>
      <c r="BJ317" s="213"/>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row>
    <row r="318" spans="1:243" ht="15.6">
      <c r="A318" s="322" t="s">
        <v>928</v>
      </c>
      <c r="B318" s="322" t="s">
        <v>928</v>
      </c>
      <c r="C318" s="335"/>
      <c r="D318" s="358" t="s">
        <v>715</v>
      </c>
      <c r="E318" s="358" t="s">
        <v>716</v>
      </c>
      <c r="F318" s="358" t="s">
        <v>717</v>
      </c>
      <c r="G318" s="358" t="s">
        <v>718</v>
      </c>
      <c r="H318" s="358" t="s">
        <v>719</v>
      </c>
      <c r="I318" s="358" t="s">
        <v>720</v>
      </c>
      <c r="J318" s="358" t="s">
        <v>721</v>
      </c>
      <c r="K318" s="358" t="s">
        <v>722</v>
      </c>
      <c r="L318" s="358" t="s">
        <v>723</v>
      </c>
      <c r="M318" s="358" t="s">
        <v>724</v>
      </c>
      <c r="N318" s="358" t="s">
        <v>725</v>
      </c>
      <c r="O318" s="358" t="s">
        <v>726</v>
      </c>
      <c r="P318" s="359"/>
      <c r="S318" s="277"/>
      <c r="T318" s="277"/>
      <c r="U318" s="277"/>
      <c r="V318" s="277"/>
      <c r="W318" s="277"/>
      <c r="X318" s="277"/>
      <c r="Y318" s="277"/>
      <c r="Z318" s="277"/>
      <c r="AA318" s="277"/>
      <c r="AB318" s="277"/>
      <c r="AC318" s="277"/>
      <c r="AD318" s="277"/>
      <c r="AE318" s="277"/>
      <c r="AF318" s="277"/>
      <c r="AG318" s="277"/>
      <c r="AH318" s="277"/>
      <c r="AI318" s="277"/>
      <c r="AJ318" s="216"/>
      <c r="AK318" s="304"/>
      <c r="AL318" s="303"/>
      <c r="AM318" s="216"/>
      <c r="AN318" s="304"/>
      <c r="AO318" s="277"/>
      <c r="AP318" s="303"/>
      <c r="AQ318" s="303"/>
      <c r="AR318" s="304"/>
      <c r="AS318" s="303"/>
      <c r="AT318" s="303"/>
      <c r="AU318" s="303"/>
      <c r="AV318" s="303"/>
      <c r="AW318" s="213"/>
      <c r="AX318" s="213"/>
      <c r="AY318" s="213"/>
      <c r="AZ318" s="213"/>
      <c r="BA318" s="213"/>
      <c r="BB318" s="213"/>
      <c r="BC318" s="213"/>
      <c r="BD318" s="213"/>
      <c r="BE318" s="213"/>
      <c r="BF318" s="213"/>
      <c r="BG318" s="213"/>
      <c r="BH318" s="213"/>
      <c r="BI318" s="213"/>
      <c r="BJ318" s="213"/>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row>
    <row r="319" spans="1:243" ht="15.6">
      <c r="A319" s="170">
        <f>A313+1</f>
        <v>190</v>
      </c>
      <c r="B319" s="327">
        <v>341</v>
      </c>
      <c r="C319" s="287"/>
      <c r="D319" s="905">
        <v>0</v>
      </c>
      <c r="E319" s="905">
        <v>0</v>
      </c>
      <c r="F319" s="905">
        <v>0</v>
      </c>
      <c r="G319" s="905">
        <v>0</v>
      </c>
      <c r="H319" s="905">
        <v>0</v>
      </c>
      <c r="I319" s="905">
        <v>0</v>
      </c>
      <c r="J319" s="905">
        <v>0</v>
      </c>
      <c r="K319" s="905">
        <v>0</v>
      </c>
      <c r="L319" s="905">
        <v>0</v>
      </c>
      <c r="M319" s="905">
        <v>0</v>
      </c>
      <c r="N319" s="905">
        <v>0</v>
      </c>
      <c r="O319" s="905">
        <v>0</v>
      </c>
      <c r="P319" s="339"/>
      <c r="S319" s="277"/>
      <c r="T319" s="277"/>
      <c r="U319" s="277"/>
      <c r="V319" s="277"/>
      <c r="W319" s="277"/>
      <c r="X319" s="277"/>
      <c r="Y319" s="277"/>
      <c r="Z319" s="277"/>
      <c r="AA319" s="277"/>
      <c r="AB319" s="277"/>
      <c r="AC319" s="277"/>
      <c r="AD319" s="277"/>
      <c r="AE319" s="277"/>
      <c r="AF319" s="277"/>
      <c r="AG319" s="277"/>
      <c r="AH319" s="277"/>
      <c r="AI319" s="277"/>
      <c r="AJ319" s="216"/>
      <c r="AK319" s="304"/>
      <c r="AL319" s="303"/>
      <c r="AM319" s="216"/>
      <c r="AN319" s="304"/>
      <c r="AO319" s="277"/>
      <c r="AP319" s="303"/>
      <c r="AQ319" s="303"/>
      <c r="AR319" s="304"/>
      <c r="AS319" s="303"/>
      <c r="AT319" s="303"/>
      <c r="AU319" s="303"/>
      <c r="AV319" s="303"/>
      <c r="AW319" s="213"/>
      <c r="AX319" s="213"/>
      <c r="AY319" s="213"/>
      <c r="AZ319" s="213"/>
      <c r="BA319" s="213"/>
      <c r="BB319" s="213"/>
      <c r="BC319" s="213"/>
      <c r="BD319" s="213"/>
      <c r="BE319" s="213"/>
      <c r="BF319" s="213"/>
      <c r="BG319" s="213"/>
      <c r="BH319" s="213"/>
      <c r="BI319" s="213"/>
      <c r="BJ319" s="213"/>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row>
    <row r="320" spans="1:243" ht="15.6">
      <c r="A320" s="170">
        <f>A319+1</f>
        <v>191</v>
      </c>
      <c r="B320" s="327">
        <v>342</v>
      </c>
      <c r="C320" s="287"/>
      <c r="D320" s="905">
        <v>0</v>
      </c>
      <c r="E320" s="905">
        <v>0</v>
      </c>
      <c r="F320" s="905">
        <v>0</v>
      </c>
      <c r="G320" s="905">
        <v>0</v>
      </c>
      <c r="H320" s="905">
        <v>0</v>
      </c>
      <c r="I320" s="905">
        <v>0</v>
      </c>
      <c r="J320" s="905">
        <v>0</v>
      </c>
      <c r="K320" s="905">
        <v>0</v>
      </c>
      <c r="L320" s="905">
        <v>0</v>
      </c>
      <c r="M320" s="905">
        <v>0</v>
      </c>
      <c r="N320" s="905">
        <v>0</v>
      </c>
      <c r="O320" s="905">
        <v>0</v>
      </c>
      <c r="P320" s="339"/>
      <c r="S320" s="277"/>
      <c r="T320" s="277"/>
      <c r="U320" s="277"/>
      <c r="V320" s="277"/>
      <c r="W320" s="277"/>
      <c r="X320" s="277"/>
      <c r="Y320" s="277"/>
      <c r="Z320" s="277"/>
      <c r="AA320" s="277"/>
      <c r="AB320" s="277"/>
      <c r="AC320" s="277"/>
      <c r="AD320" s="277"/>
      <c r="AE320" s="277"/>
      <c r="AF320" s="277"/>
      <c r="AG320" s="277"/>
      <c r="AH320" s="277"/>
      <c r="AI320" s="277"/>
      <c r="AJ320" s="216"/>
      <c r="AK320" s="304"/>
      <c r="AL320" s="303"/>
      <c r="AM320" s="216"/>
      <c r="AN320" s="304"/>
      <c r="AO320" s="277"/>
      <c r="AP320" s="303"/>
      <c r="AQ320" s="303"/>
      <c r="AR320" s="304"/>
      <c r="AS320" s="303"/>
      <c r="AT320" s="303"/>
      <c r="AU320" s="303"/>
      <c r="AV320" s="303"/>
      <c r="AW320" s="213"/>
      <c r="AX320" s="213"/>
      <c r="AY320" s="213"/>
      <c r="AZ320" s="213"/>
      <c r="BA320" s="213"/>
      <c r="BB320" s="213"/>
      <c r="BC320" s="213"/>
      <c r="BD320" s="213"/>
      <c r="BE320" s="213"/>
      <c r="BF320" s="213"/>
      <c r="BG320" s="213"/>
      <c r="BH320" s="213"/>
      <c r="BI320" s="213"/>
      <c r="BJ320" s="213"/>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row>
    <row r="321" spans="1:243" ht="15.6">
      <c r="A321" s="170">
        <f>A320+1</f>
        <v>192</v>
      </c>
      <c r="B321" s="327">
        <v>344</v>
      </c>
      <c r="C321" s="287"/>
      <c r="D321" s="907">
        <v>0</v>
      </c>
      <c r="E321" s="907">
        <v>0</v>
      </c>
      <c r="F321" s="907">
        <v>0</v>
      </c>
      <c r="G321" s="907">
        <v>0</v>
      </c>
      <c r="H321" s="907">
        <v>0</v>
      </c>
      <c r="I321" s="907">
        <v>0</v>
      </c>
      <c r="J321" s="907">
        <v>0</v>
      </c>
      <c r="K321" s="907">
        <v>0</v>
      </c>
      <c r="L321" s="907">
        <v>0</v>
      </c>
      <c r="M321" s="907">
        <v>0</v>
      </c>
      <c r="N321" s="907">
        <v>0</v>
      </c>
      <c r="O321" s="907">
        <v>0</v>
      </c>
      <c r="P321" s="339"/>
      <c r="S321" s="277"/>
      <c r="T321" s="277"/>
      <c r="U321" s="277"/>
      <c r="V321" s="277"/>
      <c r="W321" s="277"/>
      <c r="X321" s="277"/>
      <c r="Y321" s="277"/>
      <c r="Z321" s="277"/>
      <c r="AA321" s="277"/>
      <c r="AB321" s="277"/>
      <c r="AC321" s="277"/>
      <c r="AD321" s="277"/>
      <c r="AE321" s="277"/>
      <c r="AF321" s="277"/>
      <c r="AG321" s="277"/>
      <c r="AH321" s="277"/>
      <c r="AI321" s="277"/>
      <c r="AJ321" s="216"/>
      <c r="AK321" s="304"/>
      <c r="AL321" s="303"/>
      <c r="AM321" s="216"/>
      <c r="AN321" s="304"/>
      <c r="AO321" s="277"/>
      <c r="AP321" s="303"/>
      <c r="AQ321" s="303"/>
      <c r="AR321" s="304"/>
      <c r="AS321" s="303"/>
      <c r="AT321" s="303"/>
      <c r="AU321" s="303"/>
      <c r="AV321" s="303"/>
      <c r="AW321" s="213"/>
      <c r="AX321" s="213"/>
      <c r="AY321" s="213"/>
      <c r="AZ321" s="213"/>
      <c r="BA321" s="213"/>
      <c r="BB321" s="213"/>
      <c r="BC321" s="213"/>
      <c r="BD321" s="213"/>
      <c r="BE321" s="213"/>
      <c r="BF321" s="213"/>
      <c r="BG321" s="213"/>
      <c r="BH321" s="213"/>
      <c r="BI321" s="213"/>
      <c r="BJ321" s="213"/>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row>
    <row r="322" spans="1:243" ht="15.6">
      <c r="A322" s="170">
        <f>A321+1</f>
        <v>193</v>
      </c>
      <c r="B322" s="327">
        <v>345</v>
      </c>
      <c r="C322" s="287"/>
      <c r="D322" s="907">
        <v>0</v>
      </c>
      <c r="E322" s="907">
        <v>0</v>
      </c>
      <c r="F322" s="907">
        <v>0</v>
      </c>
      <c r="G322" s="907">
        <v>0</v>
      </c>
      <c r="H322" s="907">
        <v>0</v>
      </c>
      <c r="I322" s="907">
        <v>0</v>
      </c>
      <c r="J322" s="907">
        <v>0</v>
      </c>
      <c r="K322" s="907">
        <v>0</v>
      </c>
      <c r="L322" s="907">
        <v>0</v>
      </c>
      <c r="M322" s="907">
        <v>0</v>
      </c>
      <c r="N322" s="907">
        <v>0</v>
      </c>
      <c r="O322" s="907">
        <v>0</v>
      </c>
      <c r="P322" s="339"/>
      <c r="S322" s="277"/>
      <c r="T322" s="277"/>
      <c r="U322" s="277"/>
      <c r="V322" s="277"/>
      <c r="W322" s="277"/>
      <c r="X322" s="277"/>
      <c r="Y322" s="277"/>
      <c r="Z322" s="277"/>
      <c r="AA322" s="277"/>
      <c r="AB322" s="277"/>
      <c r="AC322" s="277"/>
      <c r="AD322" s="277"/>
      <c r="AE322" s="277"/>
      <c r="AF322" s="277"/>
      <c r="AG322" s="277"/>
      <c r="AH322" s="277"/>
      <c r="AI322" s="277"/>
      <c r="AJ322" s="216"/>
      <c r="AK322" s="304"/>
      <c r="AL322" s="303"/>
      <c r="AM322" s="216"/>
      <c r="AN322" s="304"/>
      <c r="AO322" s="277"/>
      <c r="AP322" s="303"/>
      <c r="AQ322" s="303"/>
      <c r="AR322" s="304"/>
      <c r="AS322" s="303"/>
      <c r="AT322" s="303"/>
      <c r="AU322" s="303"/>
      <c r="AV322" s="303"/>
      <c r="AW322" s="213"/>
      <c r="AX322" s="213"/>
      <c r="AY322" s="213"/>
      <c r="AZ322" s="213"/>
      <c r="BA322" s="213"/>
      <c r="BB322" s="213"/>
      <c r="BC322" s="213"/>
      <c r="BD322" s="213"/>
      <c r="BE322" s="213"/>
      <c r="BF322" s="213"/>
      <c r="BG322" s="213"/>
      <c r="BH322" s="213"/>
      <c r="BI322" s="213"/>
      <c r="BJ322" s="213"/>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row>
    <row r="323" spans="1:243" ht="15.6">
      <c r="A323" s="170">
        <f>A322+1</f>
        <v>194</v>
      </c>
      <c r="B323" s="327">
        <v>346</v>
      </c>
      <c r="C323" s="287"/>
      <c r="D323" s="907">
        <v>0</v>
      </c>
      <c r="E323" s="907">
        <v>0</v>
      </c>
      <c r="F323" s="907">
        <v>0</v>
      </c>
      <c r="G323" s="907">
        <v>0</v>
      </c>
      <c r="H323" s="907">
        <v>0</v>
      </c>
      <c r="I323" s="907">
        <v>0</v>
      </c>
      <c r="J323" s="907">
        <v>0</v>
      </c>
      <c r="K323" s="907">
        <v>0</v>
      </c>
      <c r="L323" s="907">
        <v>0</v>
      </c>
      <c r="M323" s="907">
        <v>0</v>
      </c>
      <c r="N323" s="907">
        <v>0</v>
      </c>
      <c r="O323" s="907">
        <v>0</v>
      </c>
      <c r="P323" s="339"/>
      <c r="S323" s="277"/>
      <c r="T323" s="277"/>
      <c r="U323" s="277"/>
      <c r="V323" s="277"/>
      <c r="W323" s="277"/>
      <c r="X323" s="277"/>
      <c r="Y323" s="277"/>
      <c r="Z323" s="277"/>
      <c r="AA323" s="277"/>
      <c r="AB323" s="277"/>
      <c r="AC323" s="277"/>
      <c r="AD323" s="277"/>
      <c r="AE323" s="277"/>
      <c r="AF323" s="277"/>
      <c r="AG323" s="277"/>
      <c r="AH323" s="277"/>
      <c r="AI323" s="277"/>
      <c r="AJ323" s="216"/>
      <c r="AK323" s="304"/>
      <c r="AL323" s="303"/>
      <c r="AM323" s="216"/>
      <c r="AN323" s="304"/>
      <c r="AO323" s="277"/>
      <c r="AP323" s="303"/>
      <c r="AQ323" s="303"/>
      <c r="AR323" s="304"/>
      <c r="AS323" s="303"/>
      <c r="AT323" s="303"/>
      <c r="AU323" s="303"/>
      <c r="AV323" s="303"/>
      <c r="AW323" s="213"/>
      <c r="AX323" s="213"/>
      <c r="AY323" s="213"/>
      <c r="AZ323" s="213"/>
      <c r="BA323" s="213"/>
      <c r="BB323" s="213"/>
      <c r="BC323" s="213"/>
      <c r="BD323" s="213"/>
      <c r="BE323" s="213"/>
      <c r="BF323" s="213"/>
      <c r="BG323" s="213"/>
      <c r="BH323" s="213"/>
      <c r="BI323" s="213"/>
      <c r="BJ323" s="21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row>
    <row r="324" spans="1:243" ht="15.6">
      <c r="A324" s="355"/>
      <c r="B324" s="336"/>
      <c r="C324" s="287"/>
      <c r="D324" s="287"/>
      <c r="E324" s="287"/>
      <c r="F324" s="287"/>
      <c r="G324" s="287"/>
      <c r="H324" s="287"/>
      <c r="I324" s="287"/>
      <c r="J324" s="287"/>
      <c r="K324" s="334"/>
      <c r="L324" s="287"/>
      <c r="M324" s="287"/>
      <c r="N324" s="287"/>
      <c r="O324" s="287"/>
      <c r="P324" s="339"/>
      <c r="S324" s="277"/>
      <c r="T324" s="277"/>
      <c r="U324" s="277"/>
      <c r="V324" s="277"/>
      <c r="W324" s="277"/>
      <c r="X324" s="277"/>
      <c r="Y324" s="277"/>
      <c r="Z324" s="277"/>
      <c r="AA324" s="277"/>
      <c r="AB324" s="277"/>
      <c r="AC324" s="277"/>
      <c r="AD324" s="277"/>
      <c r="AE324" s="277"/>
      <c r="AF324" s="277"/>
      <c r="AG324" s="277"/>
      <c r="AH324" s="277"/>
      <c r="AI324" s="277"/>
      <c r="AJ324" s="216"/>
      <c r="AK324" s="304"/>
      <c r="AL324" s="303"/>
      <c r="AM324" s="216"/>
      <c r="AN324" s="304"/>
      <c r="AO324" s="277"/>
      <c r="AP324" s="303"/>
      <c r="AQ324" s="303"/>
      <c r="AR324" s="304"/>
      <c r="AS324" s="303"/>
      <c r="AT324" s="303"/>
      <c r="AU324" s="303"/>
      <c r="AV324" s="303"/>
      <c r="AW324" s="213"/>
      <c r="AX324" s="213"/>
      <c r="AY324" s="213"/>
      <c r="AZ324" s="213"/>
      <c r="BA324" s="213"/>
      <c r="BB324" s="213"/>
      <c r="BC324" s="213"/>
      <c r="BD324" s="213"/>
      <c r="BE324" s="213"/>
      <c r="BF324" s="213"/>
      <c r="BG324" s="213"/>
      <c r="BH324" s="213"/>
      <c r="BI324" s="213"/>
      <c r="BJ324" s="213"/>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row>
    <row r="325" spans="1:243" ht="18.600000000000001">
      <c r="A325" s="355"/>
      <c r="B325" s="355" t="s">
        <v>1078</v>
      </c>
      <c r="C325" s="334" t="s">
        <v>727</v>
      </c>
      <c r="D325" s="1778" t="s">
        <v>728</v>
      </c>
      <c r="E325" s="1779"/>
      <c r="F325" s="1779"/>
      <c r="G325" s="1779"/>
      <c r="H325" s="1779"/>
      <c r="I325" s="1779"/>
      <c r="J325" s="1779"/>
      <c r="K325" s="1779"/>
      <c r="L325" s="1779"/>
      <c r="M325" s="1779"/>
      <c r="N325" s="1779"/>
      <c r="O325" s="1779"/>
      <c r="P325" s="1779"/>
      <c r="S325" s="277"/>
      <c r="T325" s="277"/>
      <c r="U325" s="277"/>
      <c r="V325" s="277"/>
      <c r="W325" s="277"/>
      <c r="X325" s="277"/>
      <c r="Y325" s="277"/>
      <c r="Z325" s="277"/>
      <c r="AA325" s="277"/>
      <c r="AB325" s="277"/>
      <c r="AC325" s="277"/>
      <c r="AD325" s="277"/>
      <c r="AE325" s="277"/>
      <c r="AF325" s="277"/>
      <c r="AG325" s="277"/>
      <c r="AH325" s="277"/>
      <c r="AI325" s="277"/>
      <c r="AJ325" s="216"/>
      <c r="AK325" s="304"/>
      <c r="AL325" s="303"/>
      <c r="AM325" s="216"/>
      <c r="AN325" s="304"/>
      <c r="AO325" s="277"/>
      <c r="AP325" s="303"/>
      <c r="AQ325" s="303"/>
      <c r="AR325" s="304"/>
      <c r="AS325" s="303"/>
      <c r="AT325" s="303"/>
      <c r="AU325" s="303"/>
      <c r="AV325" s="303"/>
      <c r="AW325" s="213"/>
      <c r="AX325" s="213"/>
      <c r="AY325" s="213"/>
      <c r="AZ325" s="213"/>
      <c r="BA325" s="213"/>
      <c r="BB325" s="213"/>
      <c r="BC325" s="213"/>
      <c r="BD325" s="213"/>
      <c r="BE325" s="213"/>
      <c r="BF325" s="213"/>
      <c r="BG325" s="213"/>
      <c r="BH325" s="213"/>
      <c r="BI325" s="213"/>
      <c r="BJ325" s="213"/>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row>
    <row r="326" spans="1:243" ht="18.600000000000001">
      <c r="A326" s="322"/>
      <c r="B326" s="322" t="s">
        <v>928</v>
      </c>
      <c r="C326" s="335" t="s">
        <v>729</v>
      </c>
      <c r="D326" s="358" t="s">
        <v>716</v>
      </c>
      <c r="E326" s="358" t="s">
        <v>717</v>
      </c>
      <c r="F326" s="358" t="s">
        <v>718</v>
      </c>
      <c r="G326" s="358" t="s">
        <v>719</v>
      </c>
      <c r="H326" s="358" t="s">
        <v>720</v>
      </c>
      <c r="I326" s="358" t="s">
        <v>721</v>
      </c>
      <c r="J326" s="358" t="s">
        <v>722</v>
      </c>
      <c r="K326" s="358" t="s">
        <v>723</v>
      </c>
      <c r="L326" s="358" t="s">
        <v>724</v>
      </c>
      <c r="M326" s="358" t="s">
        <v>725</v>
      </c>
      <c r="N326" s="358" t="s">
        <v>726</v>
      </c>
      <c r="O326" s="358" t="s">
        <v>715</v>
      </c>
      <c r="P326" s="360" t="s">
        <v>468</v>
      </c>
      <c r="S326" s="277"/>
      <c r="T326" s="277"/>
      <c r="U326" s="277"/>
      <c r="V326" s="277"/>
      <c r="W326" s="277"/>
      <c r="X326" s="277"/>
      <c r="Y326" s="277"/>
      <c r="Z326" s="277"/>
      <c r="AA326" s="277"/>
      <c r="AB326" s="277"/>
      <c r="AC326" s="277"/>
      <c r="AD326" s="277"/>
      <c r="AE326" s="277"/>
      <c r="AF326" s="277"/>
      <c r="AG326" s="277"/>
      <c r="AH326" s="277"/>
      <c r="AI326" s="277"/>
      <c r="AJ326" s="216"/>
      <c r="AK326" s="304"/>
      <c r="AL326" s="303"/>
      <c r="AM326" s="216"/>
      <c r="AN326" s="312"/>
      <c r="AO326" s="277"/>
      <c r="AP326" s="303"/>
      <c r="AQ326" s="303"/>
      <c r="AR326" s="304"/>
      <c r="AS326" s="303"/>
      <c r="AT326" s="303"/>
      <c r="AU326" s="303"/>
      <c r="AV326" s="303"/>
      <c r="AW326" s="213"/>
      <c r="AX326" s="213"/>
      <c r="AY326" s="213"/>
      <c r="AZ326" s="213"/>
      <c r="BA326" s="213"/>
      <c r="BB326" s="213"/>
      <c r="BC326" s="213"/>
      <c r="BD326" s="213"/>
      <c r="BE326" s="213"/>
      <c r="BF326" s="213"/>
      <c r="BG326" s="213"/>
      <c r="BH326" s="213"/>
      <c r="BI326" s="213"/>
      <c r="BJ326" s="213"/>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row>
    <row r="327" spans="1:243" ht="15.6">
      <c r="A327" s="170">
        <f>A323+1</f>
        <v>195</v>
      </c>
      <c r="B327" s="327">
        <f>B319</f>
        <v>341</v>
      </c>
      <c r="C327" s="908"/>
      <c r="D327" s="603">
        <f>D319*$C327/100/12</f>
        <v>0</v>
      </c>
      <c r="E327" s="603">
        <f t="shared" ref="E327:O327" si="63">E319*$C327/100/12</f>
        <v>0</v>
      </c>
      <c r="F327" s="603">
        <f t="shared" si="63"/>
        <v>0</v>
      </c>
      <c r="G327" s="603">
        <f t="shared" si="63"/>
        <v>0</v>
      </c>
      <c r="H327" s="603">
        <f t="shared" si="63"/>
        <v>0</v>
      </c>
      <c r="I327" s="603">
        <f t="shared" si="63"/>
        <v>0</v>
      </c>
      <c r="J327" s="603">
        <f t="shared" si="63"/>
        <v>0</v>
      </c>
      <c r="K327" s="603">
        <f t="shared" si="63"/>
        <v>0</v>
      </c>
      <c r="L327" s="603">
        <f t="shared" si="63"/>
        <v>0</v>
      </c>
      <c r="M327" s="603">
        <f t="shared" si="63"/>
        <v>0</v>
      </c>
      <c r="N327" s="603">
        <f t="shared" si="63"/>
        <v>0</v>
      </c>
      <c r="O327" s="603">
        <f t="shared" si="63"/>
        <v>0</v>
      </c>
      <c r="P327" s="333">
        <f>SUM(D327:O327)</f>
        <v>0</v>
      </c>
      <c r="S327" s="277"/>
      <c r="T327" s="277"/>
      <c r="U327" s="277"/>
      <c r="V327" s="277"/>
      <c r="W327" s="277"/>
      <c r="X327" s="277"/>
      <c r="Y327" s="277"/>
      <c r="Z327" s="277"/>
      <c r="AA327" s="277"/>
      <c r="AB327" s="277"/>
      <c r="AC327" s="277"/>
      <c r="AD327" s="277"/>
      <c r="AE327" s="277"/>
      <c r="AF327" s="277"/>
      <c r="AG327" s="277"/>
      <c r="AH327" s="277"/>
      <c r="AI327" s="277"/>
      <c r="AJ327" s="216"/>
      <c r="AK327" s="304"/>
      <c r="AL327" s="303"/>
      <c r="AM327" s="216"/>
      <c r="AN327" s="304"/>
      <c r="AO327" s="277"/>
      <c r="AP327" s="303"/>
      <c r="AQ327" s="303"/>
      <c r="AR327" s="304"/>
      <c r="AS327" s="303"/>
      <c r="AT327" s="303"/>
      <c r="AU327" s="303"/>
      <c r="AV327" s="303"/>
      <c r="AW327" s="213"/>
      <c r="AX327" s="213"/>
      <c r="AY327" s="213"/>
      <c r="AZ327" s="213"/>
      <c r="BA327" s="213"/>
      <c r="BB327" s="213"/>
      <c r="BC327" s="213"/>
      <c r="BD327" s="213"/>
      <c r="BE327" s="213"/>
      <c r="BF327" s="213"/>
      <c r="BG327" s="213"/>
      <c r="BH327" s="213"/>
      <c r="BI327" s="213"/>
      <c r="BJ327" s="213"/>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row>
    <row r="328" spans="1:243" ht="15.6">
      <c r="A328" s="170">
        <f>A327+1</f>
        <v>196</v>
      </c>
      <c r="B328" s="327">
        <f>B320</f>
        <v>342</v>
      </c>
      <c r="C328" s="908"/>
      <c r="D328" s="603">
        <f t="shared" ref="D328:O331" si="64">D320*$C328/100/12</f>
        <v>0</v>
      </c>
      <c r="E328" s="603">
        <f t="shared" si="64"/>
        <v>0</v>
      </c>
      <c r="F328" s="603">
        <f t="shared" si="64"/>
        <v>0</v>
      </c>
      <c r="G328" s="603">
        <f t="shared" si="64"/>
        <v>0</v>
      </c>
      <c r="H328" s="603">
        <f t="shared" si="64"/>
        <v>0</v>
      </c>
      <c r="I328" s="603">
        <f t="shared" si="64"/>
        <v>0</v>
      </c>
      <c r="J328" s="603">
        <f t="shared" si="64"/>
        <v>0</v>
      </c>
      <c r="K328" s="603">
        <f t="shared" si="64"/>
        <v>0</v>
      </c>
      <c r="L328" s="603">
        <f t="shared" si="64"/>
        <v>0</v>
      </c>
      <c r="M328" s="603">
        <f t="shared" si="64"/>
        <v>0</v>
      </c>
      <c r="N328" s="603">
        <f t="shared" si="64"/>
        <v>0</v>
      </c>
      <c r="O328" s="603">
        <f t="shared" si="64"/>
        <v>0</v>
      </c>
      <c r="P328" s="333">
        <f>SUM(D328:O328)</f>
        <v>0</v>
      </c>
      <c r="S328" s="277"/>
      <c r="T328" s="277"/>
      <c r="U328" s="277"/>
      <c r="V328" s="277"/>
      <c r="W328" s="277"/>
      <c r="X328" s="277"/>
      <c r="Y328" s="277"/>
      <c r="Z328" s="277"/>
      <c r="AA328" s="277"/>
      <c r="AB328" s="277"/>
      <c r="AC328" s="277"/>
      <c r="AD328" s="277"/>
      <c r="AE328" s="277"/>
      <c r="AF328" s="277"/>
      <c r="AG328" s="277"/>
      <c r="AH328" s="277"/>
      <c r="AI328" s="277"/>
      <c r="AJ328" s="216"/>
      <c r="AK328" s="304"/>
      <c r="AL328" s="303"/>
      <c r="AM328" s="216"/>
      <c r="AN328" s="304"/>
      <c r="AO328" s="277"/>
      <c r="AP328" s="303"/>
      <c r="AQ328" s="303"/>
      <c r="AR328" s="304"/>
      <c r="AS328" s="303"/>
      <c r="AT328" s="303"/>
      <c r="AU328" s="303"/>
      <c r="AV328" s="303"/>
      <c r="AW328" s="213"/>
      <c r="AX328" s="213"/>
      <c r="AY328" s="213"/>
      <c r="AZ328" s="213"/>
      <c r="BA328" s="213"/>
      <c r="BB328" s="213"/>
      <c r="BC328" s="213"/>
      <c r="BD328" s="213"/>
      <c r="BE328" s="213"/>
      <c r="BF328" s="213"/>
      <c r="BG328" s="213"/>
      <c r="BH328" s="213"/>
      <c r="BI328" s="213"/>
      <c r="BJ328" s="213"/>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row>
    <row r="329" spans="1:243" ht="15.6">
      <c r="A329" s="170">
        <f>A328+1</f>
        <v>197</v>
      </c>
      <c r="B329" s="327">
        <f>B321</f>
        <v>344</v>
      </c>
      <c r="C329" s="908"/>
      <c r="D329" s="603">
        <f t="shared" si="64"/>
        <v>0</v>
      </c>
      <c r="E329" s="603">
        <f t="shared" si="64"/>
        <v>0</v>
      </c>
      <c r="F329" s="603">
        <f t="shared" si="64"/>
        <v>0</v>
      </c>
      <c r="G329" s="603">
        <f t="shared" si="64"/>
        <v>0</v>
      </c>
      <c r="H329" s="603">
        <f t="shared" si="64"/>
        <v>0</v>
      </c>
      <c r="I329" s="603">
        <f t="shared" si="64"/>
        <v>0</v>
      </c>
      <c r="J329" s="603">
        <f t="shared" si="64"/>
        <v>0</v>
      </c>
      <c r="K329" s="603">
        <f t="shared" si="64"/>
        <v>0</v>
      </c>
      <c r="L329" s="603">
        <f t="shared" si="64"/>
        <v>0</v>
      </c>
      <c r="M329" s="603">
        <f t="shared" si="64"/>
        <v>0</v>
      </c>
      <c r="N329" s="603">
        <f t="shared" si="64"/>
        <v>0</v>
      </c>
      <c r="O329" s="603">
        <f t="shared" si="64"/>
        <v>0</v>
      </c>
      <c r="P329" s="333">
        <f>SUM(D329:O329)</f>
        <v>0</v>
      </c>
      <c r="S329" s="277"/>
      <c r="T329" s="277"/>
      <c r="U329" s="277"/>
      <c r="V329" s="277"/>
      <c r="W329" s="277"/>
      <c r="X329" s="277"/>
      <c r="Y329" s="277"/>
      <c r="Z329" s="277"/>
      <c r="AA329" s="277"/>
      <c r="AB329" s="277"/>
      <c r="AC329" s="277"/>
      <c r="AD329" s="277"/>
      <c r="AE329" s="277"/>
      <c r="AF329" s="277"/>
      <c r="AG329" s="277"/>
      <c r="AH329" s="277"/>
      <c r="AI329" s="277"/>
      <c r="AJ329" s="216"/>
      <c r="AK329" s="304"/>
      <c r="AL329" s="303"/>
      <c r="AM329" s="216"/>
      <c r="AN329" s="304"/>
      <c r="AO329" s="277"/>
      <c r="AP329" s="303"/>
      <c r="AQ329" s="303"/>
      <c r="AR329" s="304"/>
      <c r="AS329" s="303"/>
      <c r="AT329" s="303"/>
      <c r="AU329" s="303"/>
      <c r="AV329" s="303"/>
      <c r="AW329" s="213"/>
      <c r="AX329" s="213"/>
      <c r="AY329" s="213"/>
      <c r="AZ329" s="213"/>
      <c r="BA329" s="213"/>
      <c r="BB329" s="213"/>
      <c r="BC329" s="213"/>
      <c r="BD329" s="213"/>
      <c r="BE329" s="213"/>
      <c r="BF329" s="213"/>
      <c r="BG329" s="213"/>
      <c r="BH329" s="213"/>
      <c r="BI329" s="213"/>
      <c r="BJ329" s="213"/>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row>
    <row r="330" spans="1:243" ht="15.6">
      <c r="A330" s="170">
        <f>A329+1</f>
        <v>198</v>
      </c>
      <c r="B330" s="327">
        <f>B322</f>
        <v>345</v>
      </c>
      <c r="C330" s="908"/>
      <c r="D330" s="603">
        <f t="shared" si="64"/>
        <v>0</v>
      </c>
      <c r="E330" s="603">
        <f t="shared" si="64"/>
        <v>0</v>
      </c>
      <c r="F330" s="603">
        <f t="shared" si="64"/>
        <v>0</v>
      </c>
      <c r="G330" s="603">
        <f t="shared" si="64"/>
        <v>0</v>
      </c>
      <c r="H330" s="603">
        <f t="shared" si="64"/>
        <v>0</v>
      </c>
      <c r="I330" s="603">
        <f t="shared" si="64"/>
        <v>0</v>
      </c>
      <c r="J330" s="603">
        <f t="shared" si="64"/>
        <v>0</v>
      </c>
      <c r="K330" s="603">
        <f t="shared" si="64"/>
        <v>0</v>
      </c>
      <c r="L330" s="603">
        <f t="shared" si="64"/>
        <v>0</v>
      </c>
      <c r="M330" s="603">
        <f t="shared" si="64"/>
        <v>0</v>
      </c>
      <c r="N330" s="603">
        <f t="shared" si="64"/>
        <v>0</v>
      </c>
      <c r="O330" s="603">
        <f t="shared" si="64"/>
        <v>0</v>
      </c>
      <c r="P330" s="333">
        <f>SUM(D330:O330)</f>
        <v>0</v>
      </c>
      <c r="S330" s="277"/>
      <c r="T330" s="277"/>
      <c r="U330" s="277"/>
      <c r="V330" s="277"/>
      <c r="W330" s="277"/>
      <c r="X330" s="277"/>
      <c r="Y330" s="277"/>
      <c r="Z330" s="277"/>
      <c r="AA330" s="277"/>
      <c r="AB330" s="277"/>
      <c r="AC330" s="277"/>
      <c r="AD330" s="277"/>
      <c r="AE330" s="277"/>
      <c r="AF330" s="277"/>
      <c r="AG330" s="277"/>
      <c r="AH330" s="277"/>
      <c r="AI330" s="277"/>
      <c r="AJ330" s="216"/>
      <c r="AK330" s="304"/>
      <c r="AL330" s="303"/>
      <c r="AM330" s="216"/>
      <c r="AN330" s="304"/>
      <c r="AO330" s="277"/>
      <c r="AP330" s="303"/>
      <c r="AQ330" s="303"/>
      <c r="AR330" s="304"/>
      <c r="AS330" s="303"/>
      <c r="AT330" s="303"/>
      <c r="AU330" s="303"/>
      <c r="AV330" s="303"/>
      <c r="AW330" s="213"/>
      <c r="AX330" s="213"/>
      <c r="AY330" s="213"/>
      <c r="AZ330" s="213"/>
      <c r="BA330" s="213"/>
      <c r="BB330" s="213"/>
      <c r="BC330" s="213"/>
      <c r="BD330" s="213"/>
      <c r="BE330" s="213"/>
      <c r="BF330" s="213"/>
      <c r="BG330" s="213"/>
      <c r="BH330" s="213"/>
      <c r="BI330" s="213"/>
      <c r="BJ330" s="213"/>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row>
    <row r="331" spans="1:243" ht="15.6">
      <c r="A331" s="170">
        <f>A330+1</f>
        <v>199</v>
      </c>
      <c r="B331" s="327">
        <f>B323</f>
        <v>346</v>
      </c>
      <c r="C331" s="908"/>
      <c r="D331" s="603">
        <f t="shared" si="64"/>
        <v>0</v>
      </c>
      <c r="E331" s="603">
        <f t="shared" si="64"/>
        <v>0</v>
      </c>
      <c r="F331" s="603">
        <f t="shared" si="64"/>
        <v>0</v>
      </c>
      <c r="G331" s="603">
        <f t="shared" si="64"/>
        <v>0</v>
      </c>
      <c r="H331" s="603">
        <f t="shared" si="64"/>
        <v>0</v>
      </c>
      <c r="I331" s="603">
        <f t="shared" si="64"/>
        <v>0</v>
      </c>
      <c r="J331" s="603">
        <f t="shared" si="64"/>
        <v>0</v>
      </c>
      <c r="K331" s="603">
        <f t="shared" si="64"/>
        <v>0</v>
      </c>
      <c r="L331" s="603">
        <f t="shared" si="64"/>
        <v>0</v>
      </c>
      <c r="M331" s="603">
        <f t="shared" si="64"/>
        <v>0</v>
      </c>
      <c r="N331" s="603">
        <f t="shared" si="64"/>
        <v>0</v>
      </c>
      <c r="O331" s="603">
        <f t="shared" si="64"/>
        <v>0</v>
      </c>
      <c r="P331" s="333">
        <f>SUM(D331:O331)</f>
        <v>0</v>
      </c>
      <c r="S331" s="277"/>
      <c r="T331" s="277"/>
      <c r="U331" s="277"/>
      <c r="V331" s="277"/>
      <c r="W331" s="277"/>
      <c r="X331" s="277"/>
      <c r="Y331" s="277"/>
      <c r="Z331" s="277"/>
      <c r="AA331" s="277"/>
      <c r="AB331" s="277"/>
      <c r="AC331" s="277"/>
      <c r="AD331" s="277"/>
      <c r="AE331" s="277"/>
      <c r="AF331" s="277"/>
      <c r="AG331" s="277"/>
      <c r="AH331" s="277"/>
      <c r="AI331" s="277"/>
      <c r="AJ331" s="216"/>
      <c r="AK331" s="304"/>
      <c r="AL331" s="303"/>
      <c r="AM331" s="216"/>
      <c r="AN331" s="304"/>
      <c r="AO331" s="277"/>
      <c r="AP331" s="303"/>
      <c r="AQ331" s="303"/>
      <c r="AR331" s="304"/>
      <c r="AS331" s="303"/>
      <c r="AT331" s="303"/>
      <c r="AU331" s="303"/>
      <c r="AV331" s="303"/>
      <c r="AW331" s="213"/>
      <c r="AX331" s="213"/>
      <c r="AY331" s="213"/>
      <c r="AZ331" s="213"/>
      <c r="BA331" s="213"/>
      <c r="BB331" s="213"/>
      <c r="BC331" s="213"/>
      <c r="BD331" s="213"/>
      <c r="BE331" s="213"/>
      <c r="BF331" s="213"/>
      <c r="BG331" s="213"/>
      <c r="BH331" s="213"/>
      <c r="BI331" s="213"/>
      <c r="BJ331" s="213"/>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row>
    <row r="332" spans="1:243" ht="15.6">
      <c r="A332" s="355"/>
      <c r="B332" s="287"/>
      <c r="C332" s="287"/>
      <c r="D332" s="287"/>
      <c r="E332" s="287"/>
      <c r="F332" s="287"/>
      <c r="G332" s="287"/>
      <c r="H332" s="287"/>
      <c r="I332" s="287"/>
      <c r="J332" s="287"/>
      <c r="K332" s="334"/>
      <c r="L332" s="287"/>
      <c r="M332" s="287"/>
      <c r="N332" s="287"/>
      <c r="O332" s="287"/>
      <c r="P332" s="339"/>
      <c r="S332" s="277"/>
      <c r="T332" s="277"/>
      <c r="U332" s="277"/>
      <c r="V332" s="277"/>
      <c r="W332" s="277"/>
      <c r="X332" s="277"/>
      <c r="Y332" s="277"/>
      <c r="Z332" s="277"/>
      <c r="AA332" s="277"/>
      <c r="AB332" s="277"/>
      <c r="AC332" s="277"/>
      <c r="AD332" s="277"/>
      <c r="AE332" s="277"/>
      <c r="AF332" s="277"/>
      <c r="AG332" s="277"/>
      <c r="AH332" s="277"/>
      <c r="AI332" s="277"/>
      <c r="AJ332" s="216"/>
      <c r="AK332" s="304"/>
      <c r="AL332" s="303"/>
      <c r="AM332" s="216"/>
      <c r="AN332" s="304"/>
      <c r="AO332" s="277"/>
      <c r="AP332" s="303"/>
      <c r="AQ332" s="303"/>
      <c r="AR332" s="304"/>
      <c r="AS332" s="303"/>
      <c r="AT332" s="303"/>
      <c r="AU332" s="303"/>
      <c r="AV332" s="303"/>
      <c r="AW332" s="213"/>
      <c r="AX332" s="213"/>
      <c r="AY332" s="213"/>
      <c r="AZ332" s="213"/>
      <c r="BA332" s="213"/>
      <c r="BB332" s="213"/>
      <c r="BC332" s="213"/>
      <c r="BD332" s="213"/>
      <c r="BE332" s="213"/>
      <c r="BF332" s="213"/>
      <c r="BG332" s="213"/>
      <c r="BH332" s="213"/>
      <c r="BI332" s="213"/>
      <c r="BJ332" s="213"/>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row>
    <row r="333" spans="1:243" ht="18.600000000000001">
      <c r="A333" s="355"/>
      <c r="B333" s="355" t="s">
        <v>1078</v>
      </c>
      <c r="C333" s="334" t="s">
        <v>730</v>
      </c>
      <c r="D333" s="1778" t="s">
        <v>731</v>
      </c>
      <c r="E333" s="1779"/>
      <c r="F333" s="1779"/>
      <c r="G333" s="1779"/>
      <c r="H333" s="1779"/>
      <c r="I333" s="1779"/>
      <c r="J333" s="1779"/>
      <c r="K333" s="1779"/>
      <c r="L333" s="1779"/>
      <c r="M333" s="1779"/>
      <c r="N333" s="1779"/>
      <c r="O333" s="1779"/>
      <c r="P333" s="1779"/>
      <c r="S333" s="277"/>
      <c r="T333" s="277"/>
      <c r="U333" s="277"/>
      <c r="V333" s="277"/>
      <c r="W333" s="277"/>
      <c r="X333" s="277"/>
      <c r="Y333" s="277"/>
      <c r="Z333" s="277"/>
      <c r="AA333" s="277"/>
      <c r="AB333" s="277"/>
      <c r="AC333" s="277"/>
      <c r="AD333" s="277"/>
      <c r="AE333" s="277"/>
      <c r="AF333" s="277"/>
      <c r="AG333" s="277"/>
      <c r="AH333" s="277"/>
      <c r="AI333" s="277"/>
      <c r="AJ333" s="216"/>
      <c r="AK333" s="304"/>
      <c r="AL333" s="303"/>
      <c r="AM333" s="216"/>
      <c r="AN333" s="304"/>
      <c r="AO333" s="277"/>
      <c r="AP333" s="303"/>
      <c r="AQ333" s="303"/>
      <c r="AR333" s="304"/>
      <c r="AS333" s="303"/>
      <c r="AT333" s="303"/>
      <c r="AU333" s="303"/>
      <c r="AV333" s="303"/>
      <c r="AW333" s="213"/>
      <c r="AX333" s="213"/>
      <c r="AY333" s="213"/>
      <c r="AZ333" s="213"/>
      <c r="BA333" s="213"/>
      <c r="BB333" s="213"/>
      <c r="BC333" s="213"/>
      <c r="BD333" s="213"/>
      <c r="BE333" s="213"/>
      <c r="BF333" s="213"/>
      <c r="BG333" s="213"/>
      <c r="BH333" s="213"/>
      <c r="BI333" s="213"/>
      <c r="BJ333" s="21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row>
    <row r="334" spans="1:243" ht="18.600000000000001">
      <c r="A334" s="355"/>
      <c r="B334" s="322" t="s">
        <v>928</v>
      </c>
      <c r="C334" s="335" t="s">
        <v>732</v>
      </c>
      <c r="D334" s="358" t="s">
        <v>716</v>
      </c>
      <c r="E334" s="358" t="s">
        <v>717</v>
      </c>
      <c r="F334" s="358" t="s">
        <v>718</v>
      </c>
      <c r="G334" s="358" t="s">
        <v>719</v>
      </c>
      <c r="H334" s="358" t="s">
        <v>720</v>
      </c>
      <c r="I334" s="358" t="s">
        <v>721</v>
      </c>
      <c r="J334" s="358" t="s">
        <v>722</v>
      </c>
      <c r="K334" s="358" t="s">
        <v>723</v>
      </c>
      <c r="L334" s="358" t="s">
        <v>724</v>
      </c>
      <c r="M334" s="358" t="s">
        <v>725</v>
      </c>
      <c r="N334" s="358" t="s">
        <v>726</v>
      </c>
      <c r="O334" s="358" t="s">
        <v>715</v>
      </c>
      <c r="P334" s="360" t="s">
        <v>628</v>
      </c>
      <c r="S334" s="277"/>
      <c r="T334" s="277"/>
      <c r="U334" s="277"/>
      <c r="V334" s="277"/>
      <c r="W334" s="277"/>
      <c r="X334" s="277"/>
      <c r="Y334" s="277"/>
      <c r="Z334" s="277"/>
      <c r="AA334" s="277"/>
      <c r="AB334" s="277"/>
      <c r="AC334" s="277"/>
      <c r="AD334" s="277"/>
      <c r="AE334" s="277"/>
      <c r="AF334" s="277"/>
      <c r="AG334" s="277"/>
      <c r="AH334" s="277"/>
      <c r="AI334" s="277"/>
      <c r="AJ334" s="216"/>
      <c r="AK334" s="304"/>
      <c r="AL334" s="303"/>
      <c r="AM334" s="216"/>
      <c r="AN334" s="304"/>
      <c r="AO334" s="277"/>
      <c r="AP334" s="303"/>
      <c r="AQ334" s="303"/>
      <c r="AR334" s="304"/>
      <c r="AS334" s="303"/>
      <c r="AT334" s="303"/>
      <c r="AU334" s="303"/>
      <c r="AV334" s="303"/>
      <c r="AW334" s="213"/>
      <c r="AX334" s="213"/>
      <c r="AY334" s="213"/>
      <c r="AZ334" s="213"/>
      <c r="BA334" s="213"/>
      <c r="BB334" s="213"/>
      <c r="BC334" s="213"/>
      <c r="BD334" s="213"/>
      <c r="BE334" s="213"/>
      <c r="BF334" s="213"/>
      <c r="BG334" s="213"/>
      <c r="BH334" s="213"/>
      <c r="BI334" s="213"/>
      <c r="BJ334" s="213"/>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row>
    <row r="335" spans="1:243" ht="15.6">
      <c r="A335" s="170">
        <f>A331+1</f>
        <v>200</v>
      </c>
      <c r="B335" s="327">
        <f>B319</f>
        <v>341</v>
      </c>
      <c r="C335" s="907">
        <v>0</v>
      </c>
      <c r="D335" s="603">
        <f>C335+D327</f>
        <v>0</v>
      </c>
      <c r="E335" s="603">
        <f t="shared" ref="E335:O335" si="65">D335+E327</f>
        <v>0</v>
      </c>
      <c r="F335" s="603">
        <f t="shared" si="65"/>
        <v>0</v>
      </c>
      <c r="G335" s="603">
        <f t="shared" si="65"/>
        <v>0</v>
      </c>
      <c r="H335" s="603">
        <f t="shared" si="65"/>
        <v>0</v>
      </c>
      <c r="I335" s="603">
        <f t="shared" si="65"/>
        <v>0</v>
      </c>
      <c r="J335" s="603">
        <f t="shared" si="65"/>
        <v>0</v>
      </c>
      <c r="K335" s="603">
        <f t="shared" si="65"/>
        <v>0</v>
      </c>
      <c r="L335" s="603">
        <f t="shared" si="65"/>
        <v>0</v>
      </c>
      <c r="M335" s="603">
        <f t="shared" si="65"/>
        <v>0</v>
      </c>
      <c r="N335" s="603">
        <f t="shared" si="65"/>
        <v>0</v>
      </c>
      <c r="O335" s="603">
        <f t="shared" si="65"/>
        <v>0</v>
      </c>
      <c r="P335" s="333">
        <f>O335</f>
        <v>0</v>
      </c>
      <c r="S335" s="277"/>
      <c r="T335" s="277"/>
      <c r="U335" s="277"/>
      <c r="V335" s="277"/>
      <c r="W335" s="277"/>
      <c r="X335" s="277"/>
      <c r="Y335" s="277"/>
      <c r="Z335" s="277"/>
      <c r="AA335" s="277"/>
      <c r="AB335" s="277"/>
      <c r="AC335" s="277"/>
      <c r="AD335" s="277"/>
      <c r="AE335" s="277"/>
      <c r="AF335" s="277"/>
      <c r="AG335" s="277"/>
      <c r="AH335" s="277"/>
      <c r="AI335" s="277"/>
      <c r="AJ335" s="216"/>
      <c r="AK335" s="304"/>
      <c r="AL335" s="303"/>
      <c r="AM335" s="216"/>
      <c r="AN335" s="304"/>
      <c r="AO335" s="277"/>
      <c r="AP335" s="303"/>
      <c r="AQ335" s="303"/>
      <c r="AR335" s="304"/>
      <c r="AS335" s="303"/>
      <c r="AT335" s="303"/>
      <c r="AU335" s="303"/>
      <c r="AV335" s="303"/>
      <c r="AW335" s="213"/>
      <c r="AX335" s="213"/>
      <c r="AY335" s="213"/>
      <c r="AZ335" s="213"/>
      <c r="BA335" s="213"/>
      <c r="BB335" s="213"/>
      <c r="BC335" s="213"/>
      <c r="BD335" s="213"/>
      <c r="BE335" s="213"/>
      <c r="BF335" s="213"/>
      <c r="BG335" s="213"/>
      <c r="BH335" s="213"/>
      <c r="BI335" s="213"/>
      <c r="BJ335" s="213"/>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row>
    <row r="336" spans="1:243" ht="15.6">
      <c r="A336" s="170">
        <f>A335+1</f>
        <v>201</v>
      </c>
      <c r="B336" s="327">
        <f>B320</f>
        <v>342</v>
      </c>
      <c r="C336" s="907">
        <v>0</v>
      </c>
      <c r="D336" s="603">
        <f t="shared" ref="D336:O339" si="66">C336+D328</f>
        <v>0</v>
      </c>
      <c r="E336" s="603">
        <f t="shared" si="66"/>
        <v>0</v>
      </c>
      <c r="F336" s="603">
        <f t="shared" si="66"/>
        <v>0</v>
      </c>
      <c r="G336" s="603">
        <f t="shared" si="66"/>
        <v>0</v>
      </c>
      <c r="H336" s="603">
        <f t="shared" si="66"/>
        <v>0</v>
      </c>
      <c r="I336" s="603">
        <f t="shared" si="66"/>
        <v>0</v>
      </c>
      <c r="J336" s="603">
        <f t="shared" si="66"/>
        <v>0</v>
      </c>
      <c r="K336" s="603">
        <f t="shared" si="66"/>
        <v>0</v>
      </c>
      <c r="L336" s="603">
        <f t="shared" si="66"/>
        <v>0</v>
      </c>
      <c r="M336" s="603">
        <f t="shared" si="66"/>
        <v>0</v>
      </c>
      <c r="N336" s="603">
        <f t="shared" si="66"/>
        <v>0</v>
      </c>
      <c r="O336" s="603">
        <f t="shared" si="66"/>
        <v>0</v>
      </c>
      <c r="P336" s="333">
        <f>O336</f>
        <v>0</v>
      </c>
      <c r="S336" s="277"/>
      <c r="T336" s="277"/>
      <c r="U336" s="277"/>
      <c r="V336" s="277"/>
      <c r="W336" s="277"/>
      <c r="X336" s="277"/>
      <c r="Y336" s="277"/>
      <c r="Z336" s="277"/>
      <c r="AA336" s="277"/>
      <c r="AB336" s="277"/>
      <c r="AC336" s="277"/>
      <c r="AD336" s="277"/>
      <c r="AE336" s="277"/>
      <c r="AF336" s="277"/>
      <c r="AG336" s="277"/>
      <c r="AH336" s="277"/>
      <c r="AI336" s="277"/>
      <c r="AJ336" s="216"/>
      <c r="AK336" s="304"/>
      <c r="AL336" s="303"/>
      <c r="AM336" s="216"/>
      <c r="AN336" s="304"/>
      <c r="AO336" s="277"/>
      <c r="AP336" s="303"/>
      <c r="AQ336" s="303"/>
      <c r="AR336" s="304"/>
      <c r="AS336" s="303"/>
      <c r="AT336" s="303"/>
      <c r="AU336" s="303"/>
      <c r="AV336" s="303"/>
      <c r="AW336" s="213"/>
      <c r="AX336" s="213"/>
      <c r="AY336" s="213"/>
      <c r="AZ336" s="213"/>
      <c r="BA336" s="213"/>
      <c r="BB336" s="213"/>
      <c r="BC336" s="213"/>
      <c r="BD336" s="213"/>
      <c r="BE336" s="213"/>
      <c r="BF336" s="213"/>
      <c r="BG336" s="213"/>
      <c r="BH336" s="213"/>
      <c r="BI336" s="213"/>
      <c r="BJ336" s="213"/>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row>
    <row r="337" spans="1:243" ht="15.6">
      <c r="A337" s="170">
        <f>A336+1</f>
        <v>202</v>
      </c>
      <c r="B337" s="327">
        <f>B321</f>
        <v>344</v>
      </c>
      <c r="C337" s="907">
        <v>0</v>
      </c>
      <c r="D337" s="603">
        <f t="shared" si="66"/>
        <v>0</v>
      </c>
      <c r="E337" s="603">
        <f t="shared" si="66"/>
        <v>0</v>
      </c>
      <c r="F337" s="603">
        <f t="shared" si="66"/>
        <v>0</v>
      </c>
      <c r="G337" s="603">
        <f t="shared" si="66"/>
        <v>0</v>
      </c>
      <c r="H337" s="603">
        <f t="shared" si="66"/>
        <v>0</v>
      </c>
      <c r="I337" s="603">
        <f t="shared" si="66"/>
        <v>0</v>
      </c>
      <c r="J337" s="603">
        <f t="shared" si="66"/>
        <v>0</v>
      </c>
      <c r="K337" s="603">
        <f t="shared" si="66"/>
        <v>0</v>
      </c>
      <c r="L337" s="603">
        <f t="shared" si="66"/>
        <v>0</v>
      </c>
      <c r="M337" s="603">
        <f t="shared" si="66"/>
        <v>0</v>
      </c>
      <c r="N337" s="603">
        <f t="shared" si="66"/>
        <v>0</v>
      </c>
      <c r="O337" s="603">
        <f t="shared" si="66"/>
        <v>0</v>
      </c>
      <c r="P337" s="333">
        <f>O337</f>
        <v>0</v>
      </c>
      <c r="S337" s="277"/>
      <c r="T337" s="277"/>
      <c r="U337" s="277"/>
      <c r="V337" s="277"/>
      <c r="W337" s="277"/>
      <c r="X337" s="277"/>
      <c r="Y337" s="277"/>
      <c r="Z337" s="277"/>
      <c r="AA337" s="277"/>
      <c r="AB337" s="277"/>
      <c r="AC337" s="277"/>
      <c r="AD337" s="277"/>
      <c r="AE337" s="277"/>
      <c r="AF337" s="277"/>
      <c r="AG337" s="277"/>
      <c r="AH337" s="277"/>
      <c r="AI337" s="277"/>
      <c r="AJ337" s="216"/>
      <c r="AK337" s="304"/>
      <c r="AL337" s="303"/>
      <c r="AM337" s="216"/>
      <c r="AN337" s="304"/>
      <c r="AO337" s="277"/>
      <c r="AP337" s="303"/>
      <c r="AQ337" s="303"/>
      <c r="AR337" s="304"/>
      <c r="AS337" s="303"/>
      <c r="AT337" s="303"/>
      <c r="AU337" s="303"/>
      <c r="AV337" s="303"/>
      <c r="AW337" s="213"/>
      <c r="AX337" s="213"/>
      <c r="AY337" s="213"/>
      <c r="AZ337" s="213"/>
      <c r="BA337" s="213"/>
      <c r="BB337" s="213"/>
      <c r="BC337" s="213"/>
      <c r="BD337" s="213"/>
      <c r="BE337" s="213"/>
      <c r="BF337" s="213"/>
      <c r="BG337" s="213"/>
      <c r="BH337" s="213"/>
      <c r="BI337" s="213"/>
      <c r="BJ337" s="213"/>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row>
    <row r="338" spans="1:243" ht="15.6">
      <c r="A338" s="170">
        <f>A337+1</f>
        <v>203</v>
      </c>
      <c r="B338" s="327">
        <f>B322</f>
        <v>345</v>
      </c>
      <c r="C338" s="907">
        <v>0</v>
      </c>
      <c r="D338" s="603">
        <f t="shared" si="66"/>
        <v>0</v>
      </c>
      <c r="E338" s="603">
        <f t="shared" si="66"/>
        <v>0</v>
      </c>
      <c r="F338" s="603">
        <f t="shared" si="66"/>
        <v>0</v>
      </c>
      <c r="G338" s="603">
        <f t="shared" si="66"/>
        <v>0</v>
      </c>
      <c r="H338" s="603">
        <f t="shared" si="66"/>
        <v>0</v>
      </c>
      <c r="I338" s="603">
        <f t="shared" si="66"/>
        <v>0</v>
      </c>
      <c r="J338" s="603">
        <f t="shared" si="66"/>
        <v>0</v>
      </c>
      <c r="K338" s="603">
        <f t="shared" si="66"/>
        <v>0</v>
      </c>
      <c r="L338" s="603">
        <f t="shared" si="66"/>
        <v>0</v>
      </c>
      <c r="M338" s="603">
        <f t="shared" si="66"/>
        <v>0</v>
      </c>
      <c r="N338" s="603">
        <f t="shared" si="66"/>
        <v>0</v>
      </c>
      <c r="O338" s="603">
        <f t="shared" si="66"/>
        <v>0</v>
      </c>
      <c r="P338" s="333">
        <f>O338</f>
        <v>0</v>
      </c>
      <c r="S338" s="277"/>
      <c r="T338" s="277"/>
      <c r="U338" s="277"/>
      <c r="V338" s="277"/>
      <c r="W338" s="277"/>
      <c r="X338" s="277"/>
      <c r="Y338" s="277"/>
      <c r="Z338" s="277"/>
      <c r="AA338" s="277"/>
      <c r="AB338" s="277"/>
      <c r="AC338" s="277"/>
      <c r="AD338" s="277"/>
      <c r="AE338" s="277"/>
      <c r="AF338" s="277"/>
      <c r="AG338" s="277"/>
      <c r="AH338" s="277"/>
      <c r="AI338" s="277"/>
      <c r="AJ338" s="216"/>
      <c r="AK338" s="304"/>
      <c r="AL338" s="303"/>
      <c r="AM338" s="216"/>
      <c r="AN338" s="304"/>
      <c r="AO338" s="277"/>
      <c r="AP338" s="303"/>
      <c r="AQ338" s="303"/>
      <c r="AR338" s="304"/>
      <c r="AS338" s="303"/>
      <c r="AT338" s="303"/>
      <c r="AU338" s="303"/>
      <c r="AV338" s="303"/>
      <c r="AW338" s="213"/>
      <c r="AX338" s="213"/>
      <c r="AY338" s="213"/>
      <c r="AZ338" s="213"/>
      <c r="BA338" s="213"/>
      <c r="BB338" s="213"/>
      <c r="BC338" s="213"/>
      <c r="BD338" s="213"/>
      <c r="BE338" s="213"/>
      <c r="BF338" s="213"/>
      <c r="BG338" s="213"/>
      <c r="BH338" s="213"/>
      <c r="BI338" s="213"/>
      <c r="BJ338" s="213"/>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row>
    <row r="339" spans="1:243" ht="15.6">
      <c r="A339" s="170">
        <f>A338+1</f>
        <v>204</v>
      </c>
      <c r="B339" s="327">
        <f>B323</f>
        <v>346</v>
      </c>
      <c r="C339" s="907">
        <v>0</v>
      </c>
      <c r="D339" s="603">
        <f t="shared" si="66"/>
        <v>0</v>
      </c>
      <c r="E339" s="603">
        <f t="shared" si="66"/>
        <v>0</v>
      </c>
      <c r="F339" s="603">
        <f t="shared" si="66"/>
        <v>0</v>
      </c>
      <c r="G339" s="603">
        <f t="shared" si="66"/>
        <v>0</v>
      </c>
      <c r="H339" s="603">
        <f t="shared" si="66"/>
        <v>0</v>
      </c>
      <c r="I339" s="603">
        <f t="shared" si="66"/>
        <v>0</v>
      </c>
      <c r="J339" s="603">
        <f t="shared" si="66"/>
        <v>0</v>
      </c>
      <c r="K339" s="603">
        <f t="shared" si="66"/>
        <v>0</v>
      </c>
      <c r="L339" s="603">
        <f t="shared" si="66"/>
        <v>0</v>
      </c>
      <c r="M339" s="603">
        <f t="shared" si="66"/>
        <v>0</v>
      </c>
      <c r="N339" s="603">
        <f t="shared" si="66"/>
        <v>0</v>
      </c>
      <c r="O339" s="603">
        <f t="shared" si="66"/>
        <v>0</v>
      </c>
      <c r="P339" s="333">
        <f>O339</f>
        <v>0</v>
      </c>
      <c r="S339" s="277"/>
      <c r="T339" s="277"/>
      <c r="U339" s="277"/>
      <c r="V339" s="277"/>
      <c r="W339" s="277"/>
      <c r="X339" s="277"/>
      <c r="Y339" s="277"/>
      <c r="Z339" s="277"/>
      <c r="AA339" s="277"/>
      <c r="AB339" s="277"/>
      <c r="AC339" s="277"/>
      <c r="AD339" s="277"/>
      <c r="AE339" s="277"/>
      <c r="AF339" s="277"/>
      <c r="AG339" s="277"/>
      <c r="AH339" s="277"/>
      <c r="AI339" s="277"/>
      <c r="AJ339" s="216"/>
      <c r="AK339" s="304"/>
      <c r="AL339" s="303"/>
      <c r="AM339" s="216"/>
      <c r="AN339" s="304"/>
      <c r="AO339" s="277"/>
      <c r="AP339" s="303"/>
      <c r="AQ339" s="303"/>
      <c r="AR339" s="304"/>
      <c r="AS339" s="303"/>
      <c r="AT339" s="303"/>
      <c r="AU339" s="303"/>
      <c r="AV339" s="303"/>
      <c r="AW339" s="213"/>
      <c r="AX339" s="213"/>
      <c r="AY339" s="213"/>
      <c r="AZ339" s="213"/>
      <c r="BA339" s="213"/>
      <c r="BB339" s="213"/>
      <c r="BC339" s="213"/>
      <c r="BD339" s="213"/>
      <c r="BE339" s="213"/>
      <c r="BF339" s="213"/>
      <c r="BG339" s="213"/>
      <c r="BH339" s="213"/>
      <c r="BI339" s="213"/>
      <c r="BJ339" s="213"/>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row>
    <row r="340" spans="1:243" ht="15.6">
      <c r="A340" s="170"/>
      <c r="B340" s="327"/>
      <c r="C340" s="328"/>
      <c r="D340" s="328"/>
      <c r="E340" s="328"/>
      <c r="F340" s="328"/>
      <c r="G340" s="328"/>
      <c r="H340" s="328"/>
      <c r="I340" s="328"/>
      <c r="J340" s="328"/>
      <c r="K340" s="328"/>
      <c r="L340" s="328"/>
      <c r="M340" s="328"/>
      <c r="N340" s="328"/>
      <c r="O340" s="328"/>
      <c r="P340" s="333"/>
      <c r="S340" s="277"/>
      <c r="T340" s="277"/>
      <c r="U340" s="277"/>
      <c r="V340" s="277"/>
      <c r="W340" s="277"/>
      <c r="X340" s="277"/>
      <c r="Y340" s="277"/>
      <c r="Z340" s="277"/>
      <c r="AA340" s="277"/>
      <c r="AB340" s="277"/>
      <c r="AC340" s="277"/>
      <c r="AD340" s="277"/>
      <c r="AE340" s="277"/>
      <c r="AF340" s="277"/>
      <c r="AG340" s="277"/>
      <c r="AH340" s="277"/>
      <c r="AI340" s="277"/>
      <c r="AJ340" s="216"/>
      <c r="AK340" s="304"/>
      <c r="AL340" s="303"/>
      <c r="AM340" s="216"/>
      <c r="AN340" s="304"/>
      <c r="AO340" s="277"/>
      <c r="AP340" s="303"/>
      <c r="AQ340" s="303"/>
      <c r="AR340" s="304"/>
      <c r="AS340" s="303"/>
      <c r="AT340" s="303"/>
      <c r="AU340" s="303"/>
      <c r="AV340" s="303"/>
      <c r="AW340" s="213"/>
      <c r="AX340" s="213"/>
      <c r="AY340" s="213"/>
      <c r="AZ340" s="213"/>
      <c r="BA340" s="213"/>
      <c r="BB340" s="213"/>
      <c r="BC340" s="213"/>
      <c r="BD340" s="213"/>
      <c r="BE340" s="213"/>
      <c r="BF340" s="213"/>
      <c r="BG340" s="213"/>
      <c r="BH340" s="213"/>
      <c r="BI340" s="213"/>
      <c r="BJ340" s="213"/>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row>
    <row r="341" spans="1:243" ht="15.6">
      <c r="A341" s="170"/>
      <c r="B341" s="327"/>
      <c r="C341" s="328"/>
      <c r="D341" s="328"/>
      <c r="E341" s="328"/>
      <c r="F341" s="328"/>
      <c r="G341" s="328"/>
      <c r="H341" s="328"/>
      <c r="I341" s="328"/>
      <c r="J341" s="328"/>
      <c r="K341" s="328"/>
      <c r="L341" s="328"/>
      <c r="M341" s="328"/>
      <c r="N341" s="328"/>
      <c r="O341" s="287"/>
      <c r="P341" s="339"/>
      <c r="S341" s="277"/>
      <c r="T341" s="277"/>
      <c r="U341" s="277"/>
      <c r="V341" s="277"/>
      <c r="W341" s="277"/>
      <c r="X341" s="277"/>
      <c r="Y341" s="277"/>
      <c r="Z341" s="277"/>
      <c r="AA341" s="277"/>
      <c r="AB341" s="277"/>
      <c r="AC341" s="277"/>
      <c r="AD341" s="277"/>
      <c r="AE341" s="277"/>
      <c r="AF341" s="277"/>
      <c r="AG341" s="277"/>
      <c r="AH341" s="277"/>
      <c r="AI341" s="277"/>
      <c r="AJ341" s="216"/>
      <c r="AK341" s="304"/>
      <c r="AL341" s="303"/>
      <c r="AM341" s="216"/>
      <c r="AN341" s="304"/>
      <c r="AO341" s="277"/>
      <c r="AP341" s="303"/>
      <c r="AQ341" s="303"/>
      <c r="AR341" s="304"/>
      <c r="AS341" s="303"/>
      <c r="AT341" s="303"/>
      <c r="AU341" s="303"/>
      <c r="AV341" s="303"/>
      <c r="AW341" s="213"/>
      <c r="AX341" s="213"/>
      <c r="AY341" s="213"/>
      <c r="AZ341" s="213"/>
      <c r="BA341" s="213"/>
      <c r="BB341" s="213"/>
      <c r="BC341" s="213"/>
      <c r="BD341" s="213"/>
      <c r="BE341" s="213"/>
      <c r="BF341" s="213"/>
      <c r="BG341" s="213"/>
      <c r="BH341" s="213"/>
      <c r="BI341" s="213"/>
      <c r="BJ341" s="213"/>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row>
    <row r="342" spans="1:243" ht="15.6">
      <c r="A342" s="170"/>
      <c r="B342" s="327"/>
      <c r="C342" s="328"/>
      <c r="D342" s="328"/>
      <c r="E342" s="328"/>
      <c r="F342" s="328"/>
      <c r="G342" s="328"/>
      <c r="H342" s="328"/>
      <c r="I342" s="328"/>
      <c r="J342" s="328"/>
      <c r="K342" s="328"/>
      <c r="L342" s="328"/>
      <c r="M342" s="328"/>
      <c r="N342" s="328"/>
      <c r="O342" s="366" t="s">
        <v>3019</v>
      </c>
      <c r="P342" s="333">
        <f>SUM(P19:P25,P51:P57,P83:P89,P115:P121,P145:P149,P171:P175,P197:P201,P223:P227,P249:P253,P275:P279,P301:P305,P327:P331)</f>
        <v>0</v>
      </c>
      <c r="S342" s="277"/>
      <c r="T342" s="277"/>
      <c r="U342" s="277"/>
      <c r="V342" s="277"/>
      <c r="W342" s="277"/>
      <c r="X342" s="277"/>
      <c r="Y342" s="277"/>
      <c r="Z342" s="277"/>
      <c r="AA342" s="277"/>
      <c r="AB342" s="277"/>
      <c r="AC342" s="277"/>
      <c r="AD342" s="277"/>
      <c r="AE342" s="277"/>
      <c r="AF342" s="277"/>
      <c r="AG342" s="277"/>
      <c r="AH342" s="277"/>
      <c r="AI342" s="277"/>
      <c r="AJ342" s="216"/>
      <c r="AK342" s="304"/>
      <c r="AL342" s="303"/>
      <c r="AM342" s="216"/>
      <c r="AN342" s="304"/>
      <c r="AO342" s="277"/>
      <c r="AP342" s="303"/>
      <c r="AQ342" s="303"/>
      <c r="AR342" s="304"/>
      <c r="AS342" s="303"/>
      <c r="AT342" s="303"/>
      <c r="AU342" s="303"/>
      <c r="AV342" s="303"/>
      <c r="AW342" s="213"/>
      <c r="AX342" s="213"/>
      <c r="AY342" s="213"/>
      <c r="AZ342" s="213"/>
      <c r="BA342" s="213"/>
      <c r="BB342" s="213"/>
      <c r="BC342" s="213"/>
      <c r="BD342" s="213"/>
      <c r="BE342" s="213"/>
      <c r="BF342" s="213"/>
      <c r="BG342" s="213"/>
      <c r="BH342" s="213"/>
      <c r="BI342" s="213"/>
      <c r="BJ342" s="213"/>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row>
    <row r="343" spans="1:243" ht="18.600000000000001">
      <c r="A343" s="170"/>
      <c r="B343" s="327"/>
      <c r="C343" s="328"/>
      <c r="D343" s="328"/>
      <c r="E343" s="328"/>
      <c r="F343" s="328"/>
      <c r="G343" s="328"/>
      <c r="H343" s="328"/>
      <c r="I343" s="328"/>
      <c r="J343" s="328"/>
      <c r="K343" s="328"/>
      <c r="L343" s="328"/>
      <c r="M343" s="328"/>
      <c r="N343" s="328"/>
      <c r="O343" s="366" t="s">
        <v>3022</v>
      </c>
      <c r="P343" s="361"/>
      <c r="S343" s="277"/>
      <c r="T343" s="277"/>
      <c r="U343" s="277"/>
      <c r="V343" s="277"/>
      <c r="W343" s="277"/>
      <c r="X343" s="277"/>
      <c r="Y343" s="277"/>
      <c r="Z343" s="277"/>
      <c r="AA343" s="277"/>
      <c r="AB343" s="277"/>
      <c r="AC343" s="277"/>
      <c r="AD343" s="277"/>
      <c r="AE343" s="277"/>
      <c r="AF343" s="277"/>
      <c r="AG343" s="277"/>
      <c r="AH343" s="277"/>
      <c r="AI343" s="277"/>
      <c r="AJ343" s="216"/>
      <c r="AK343" s="304"/>
      <c r="AL343" s="303"/>
      <c r="AM343" s="216"/>
      <c r="AN343" s="304"/>
      <c r="AO343" s="277"/>
      <c r="AP343" s="303"/>
      <c r="AQ343" s="303"/>
      <c r="AR343" s="304"/>
      <c r="AS343" s="303"/>
      <c r="AT343" s="303"/>
      <c r="AU343" s="303"/>
      <c r="AV343" s="303"/>
      <c r="AW343" s="213"/>
      <c r="AX343" s="213"/>
      <c r="AY343" s="213"/>
      <c r="AZ343" s="213"/>
      <c r="BA343" s="213"/>
      <c r="BB343" s="213"/>
      <c r="BC343" s="213"/>
      <c r="BD343" s="213"/>
      <c r="BE343" s="213"/>
      <c r="BF343" s="213"/>
      <c r="BG343" s="213"/>
      <c r="BH343" s="213"/>
      <c r="BI343" s="213"/>
      <c r="BJ343" s="21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row>
    <row r="344" spans="1:243" ht="18.600000000000001">
      <c r="A344" s="170"/>
      <c r="B344" s="327"/>
      <c r="C344" s="328"/>
      <c r="D344" s="328"/>
      <c r="E344" s="328"/>
      <c r="F344" s="328"/>
      <c r="G344" s="328"/>
      <c r="H344" s="328"/>
      <c r="I344" s="328"/>
      <c r="J344" s="328"/>
      <c r="K344" s="328"/>
      <c r="L344" s="328"/>
      <c r="M344" s="328"/>
      <c r="N344" s="328"/>
      <c r="O344" s="366" t="s">
        <v>3020</v>
      </c>
      <c r="P344" s="333">
        <f>SUM(P342:P343)</f>
        <v>0</v>
      </c>
      <c r="S344" s="277"/>
      <c r="T344" s="277"/>
      <c r="U344" s="277"/>
      <c r="V344" s="277"/>
      <c r="W344" s="277"/>
      <c r="X344" s="277"/>
      <c r="Y344" s="277"/>
      <c r="Z344" s="277"/>
      <c r="AA344" s="277"/>
      <c r="AB344" s="277"/>
      <c r="AC344" s="277"/>
      <c r="AD344" s="277"/>
      <c r="AE344" s="277"/>
      <c r="AF344" s="277"/>
      <c r="AG344" s="277"/>
      <c r="AH344" s="277"/>
      <c r="AI344" s="277"/>
      <c r="AJ344" s="216"/>
      <c r="AK344" s="304"/>
      <c r="AL344" s="303"/>
      <c r="AM344" s="216"/>
      <c r="AN344" s="304"/>
      <c r="AO344" s="277"/>
      <c r="AP344" s="303"/>
      <c r="AQ344" s="303"/>
      <c r="AR344" s="304"/>
      <c r="AS344" s="303"/>
      <c r="AT344" s="303"/>
      <c r="AU344" s="303"/>
      <c r="AV344" s="303"/>
      <c r="AW344" s="213"/>
      <c r="AX344" s="213"/>
      <c r="AY344" s="213"/>
      <c r="AZ344" s="213"/>
      <c r="BA344" s="213"/>
      <c r="BB344" s="213"/>
      <c r="BC344" s="213"/>
      <c r="BD344" s="213"/>
      <c r="BE344" s="213"/>
      <c r="BF344" s="213"/>
      <c r="BG344" s="213"/>
      <c r="BH344" s="213"/>
      <c r="BI344" s="213"/>
      <c r="BJ344" s="213"/>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row>
    <row r="345" spans="1:243" ht="15.6">
      <c r="A345" s="170"/>
      <c r="B345" s="327"/>
      <c r="C345" s="328"/>
      <c r="D345" s="328"/>
      <c r="E345" s="328"/>
      <c r="F345" s="328"/>
      <c r="G345" s="328"/>
      <c r="H345" s="328"/>
      <c r="I345" s="328"/>
      <c r="J345" s="328"/>
      <c r="K345" s="328"/>
      <c r="L345" s="328"/>
      <c r="M345" s="328"/>
      <c r="N345" s="328"/>
      <c r="O345" s="287"/>
      <c r="P345" s="367" t="s">
        <v>1398</v>
      </c>
      <c r="S345" s="277"/>
      <c r="T345" s="277"/>
      <c r="U345" s="277"/>
      <c r="V345" s="277"/>
      <c r="W345" s="277"/>
      <c r="X345" s="277"/>
      <c r="Y345" s="277"/>
      <c r="Z345" s="277"/>
      <c r="AA345" s="277"/>
      <c r="AB345" s="277"/>
      <c r="AC345" s="277"/>
      <c r="AD345" s="277"/>
      <c r="AE345" s="277"/>
      <c r="AF345" s="277"/>
      <c r="AG345" s="277"/>
      <c r="AH345" s="277"/>
      <c r="AI345" s="277"/>
      <c r="AJ345" s="216"/>
      <c r="AK345" s="304"/>
      <c r="AL345" s="303"/>
      <c r="AM345" s="216"/>
      <c r="AN345" s="304"/>
      <c r="AO345" s="277"/>
      <c r="AP345" s="303"/>
      <c r="AQ345" s="303"/>
      <c r="AR345" s="304"/>
      <c r="AS345" s="303"/>
      <c r="AT345" s="303"/>
      <c r="AU345" s="303"/>
      <c r="AV345" s="303"/>
      <c r="AW345" s="213"/>
      <c r="AX345" s="213"/>
      <c r="AY345" s="213"/>
      <c r="AZ345" s="213"/>
      <c r="BA345" s="213"/>
      <c r="BB345" s="213"/>
      <c r="BC345" s="213"/>
      <c r="BD345" s="213"/>
      <c r="BE345" s="213"/>
      <c r="BF345" s="213"/>
      <c r="BG345" s="213"/>
      <c r="BH345" s="213"/>
      <c r="BI345" s="213"/>
      <c r="BJ345" s="213"/>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row>
    <row r="346" spans="1:243" ht="15.6">
      <c r="A346" s="170"/>
      <c r="B346" s="327"/>
      <c r="C346" s="328"/>
      <c r="D346" s="328"/>
      <c r="E346" s="328"/>
      <c r="F346" s="328"/>
      <c r="G346" s="328"/>
      <c r="H346" s="328"/>
      <c r="I346" s="328"/>
      <c r="J346" s="328"/>
      <c r="K346" s="328"/>
      <c r="L346" s="328"/>
      <c r="M346" s="328"/>
      <c r="N346" s="328"/>
      <c r="O346" s="366" t="s">
        <v>3021</v>
      </c>
      <c r="P346" s="333">
        <f>SUM(P29:P35,P61:P67,P93:P99,P125:P131,P153:P157,P179:P183,P205:P209,P231:P235,P257:P261,P283:P287,P309:P313,P335:P339)</f>
        <v>0</v>
      </c>
      <c r="S346" s="277"/>
      <c r="T346" s="277"/>
      <c r="U346" s="277"/>
      <c r="V346" s="277"/>
      <c r="W346" s="277"/>
      <c r="X346" s="277"/>
      <c r="Y346" s="277"/>
      <c r="Z346" s="277"/>
      <c r="AA346" s="277"/>
      <c r="AB346" s="277"/>
      <c r="AC346" s="277"/>
      <c r="AD346" s="277"/>
      <c r="AE346" s="277"/>
      <c r="AF346" s="277"/>
      <c r="AG346" s="277"/>
      <c r="AH346" s="277"/>
      <c r="AI346" s="277"/>
      <c r="AJ346" s="216"/>
      <c r="AK346" s="304"/>
      <c r="AL346" s="303"/>
      <c r="AM346" s="216"/>
      <c r="AN346" s="304"/>
      <c r="AO346" s="277"/>
      <c r="AP346" s="303"/>
      <c r="AQ346" s="303"/>
      <c r="AR346" s="304"/>
      <c r="AS346" s="303"/>
      <c r="AT346" s="303"/>
      <c r="AU346" s="303"/>
      <c r="AV346" s="303"/>
      <c r="AW346" s="213"/>
      <c r="AX346" s="213"/>
      <c r="AY346" s="213"/>
      <c r="AZ346" s="213"/>
      <c r="BA346" s="213"/>
      <c r="BB346" s="213"/>
      <c r="BC346" s="213"/>
      <c r="BD346" s="213"/>
      <c r="BE346" s="213"/>
      <c r="BF346" s="213"/>
      <c r="BG346" s="213"/>
      <c r="BH346" s="213"/>
      <c r="BI346" s="213"/>
      <c r="BJ346" s="213"/>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row>
    <row r="347" spans="1:243" ht="18.600000000000001">
      <c r="A347" s="170"/>
      <c r="B347" s="327"/>
      <c r="C347" s="328"/>
      <c r="D347" s="328"/>
      <c r="E347" s="328"/>
      <c r="F347" s="328"/>
      <c r="G347" s="328"/>
      <c r="H347" s="328"/>
      <c r="I347" s="328"/>
      <c r="J347" s="328"/>
      <c r="K347" s="328"/>
      <c r="L347" s="328"/>
      <c r="M347" s="328"/>
      <c r="N347" s="328"/>
      <c r="O347" s="366" t="s">
        <v>3022</v>
      </c>
      <c r="P347" s="368"/>
      <c r="S347" s="277"/>
      <c r="T347" s="277"/>
      <c r="U347" s="277"/>
      <c r="V347" s="277"/>
      <c r="W347" s="277"/>
      <c r="X347" s="277"/>
      <c r="Y347" s="277"/>
      <c r="Z347" s="277"/>
      <c r="AA347" s="277"/>
      <c r="AB347" s="277"/>
      <c r="AC347" s="277"/>
      <c r="AD347" s="277"/>
      <c r="AE347" s="277"/>
      <c r="AF347" s="277"/>
      <c r="AG347" s="277"/>
      <c r="AH347" s="277"/>
      <c r="AI347" s="277"/>
      <c r="AJ347" s="216"/>
      <c r="AK347" s="304"/>
      <c r="AL347" s="303"/>
      <c r="AM347" s="216"/>
      <c r="AN347" s="304"/>
      <c r="AO347" s="277"/>
      <c r="AP347" s="303"/>
      <c r="AQ347" s="303"/>
      <c r="AR347" s="304"/>
      <c r="AS347" s="303"/>
      <c r="AT347" s="303"/>
      <c r="AU347" s="303"/>
      <c r="AV347" s="303"/>
      <c r="AW347" s="213"/>
      <c r="AX347" s="213"/>
      <c r="AY347" s="213"/>
      <c r="AZ347" s="213"/>
      <c r="BA347" s="213"/>
      <c r="BB347" s="213"/>
      <c r="BC347" s="213"/>
      <c r="BD347" s="213"/>
      <c r="BE347" s="213"/>
      <c r="BF347" s="213"/>
      <c r="BG347" s="213"/>
      <c r="BH347" s="213"/>
      <c r="BI347" s="213"/>
      <c r="BJ347" s="213"/>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row>
    <row r="348" spans="1:243" ht="18.600000000000001">
      <c r="A348" s="170"/>
      <c r="B348" s="327"/>
      <c r="C348" s="328"/>
      <c r="D348" s="328"/>
      <c r="E348" s="328"/>
      <c r="F348" s="328"/>
      <c r="G348" s="328"/>
      <c r="H348" s="328"/>
      <c r="I348" s="328"/>
      <c r="J348" s="328"/>
      <c r="K348" s="328"/>
      <c r="L348" s="328"/>
      <c r="M348" s="328"/>
      <c r="N348" s="328"/>
      <c r="O348" s="366" t="s">
        <v>3023</v>
      </c>
      <c r="P348" s="333">
        <f>SUM(P346:P347)</f>
        <v>0</v>
      </c>
      <c r="S348" s="277"/>
      <c r="T348" s="277"/>
      <c r="U348" s="277"/>
      <c r="V348" s="277"/>
      <c r="W348" s="277"/>
      <c r="X348" s="277"/>
      <c r="Y348" s="277"/>
      <c r="Z348" s="277"/>
      <c r="AA348" s="277"/>
      <c r="AB348" s="277"/>
      <c r="AC348" s="277"/>
      <c r="AD348" s="277"/>
      <c r="AE348" s="277"/>
      <c r="AF348" s="277"/>
      <c r="AG348" s="277"/>
      <c r="AH348" s="277"/>
      <c r="AI348" s="277"/>
      <c r="AJ348" s="216"/>
      <c r="AK348" s="304"/>
      <c r="AL348" s="303"/>
      <c r="AM348" s="216"/>
      <c r="AN348" s="304"/>
      <c r="AO348" s="277"/>
      <c r="AP348" s="303"/>
      <c r="AQ348" s="303"/>
      <c r="AR348" s="304"/>
      <c r="AS348" s="303"/>
      <c r="AT348" s="303"/>
      <c r="AU348" s="303"/>
      <c r="AV348" s="303"/>
      <c r="AW348" s="213"/>
      <c r="AX348" s="213"/>
      <c r="AY348" s="213"/>
      <c r="AZ348" s="213"/>
      <c r="BA348" s="213"/>
      <c r="BB348" s="213"/>
      <c r="BC348" s="213"/>
      <c r="BD348" s="213"/>
      <c r="BE348" s="213"/>
      <c r="BF348" s="213"/>
      <c r="BG348" s="213"/>
      <c r="BH348" s="213"/>
      <c r="BI348" s="213"/>
      <c r="BJ348" s="213"/>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row>
    <row r="349" spans="1:243" ht="15.6">
      <c r="A349" s="170"/>
      <c r="B349" s="327"/>
      <c r="C349" s="328"/>
      <c r="D349" s="328"/>
      <c r="E349" s="328"/>
      <c r="F349" s="328"/>
      <c r="G349" s="328"/>
      <c r="H349" s="328"/>
      <c r="I349" s="328"/>
      <c r="J349" s="328"/>
      <c r="K349" s="328"/>
      <c r="L349" s="328"/>
      <c r="M349" s="328"/>
      <c r="N349" s="328"/>
      <c r="O349" s="366"/>
      <c r="P349" s="367" t="s">
        <v>1399</v>
      </c>
      <c r="S349" s="277"/>
      <c r="T349" s="277"/>
      <c r="U349" s="277"/>
      <c r="V349" s="277"/>
      <c r="W349" s="277"/>
      <c r="X349" s="277"/>
      <c r="Y349" s="277"/>
      <c r="Z349" s="277"/>
      <c r="AA349" s="277"/>
      <c r="AB349" s="277"/>
      <c r="AC349" s="277"/>
      <c r="AD349" s="277"/>
      <c r="AE349" s="277"/>
      <c r="AF349" s="277"/>
      <c r="AG349" s="277"/>
      <c r="AH349" s="277"/>
      <c r="AI349" s="277"/>
      <c r="AJ349" s="216"/>
      <c r="AK349" s="304"/>
      <c r="AL349" s="303"/>
      <c r="AM349" s="216"/>
      <c r="AN349" s="304"/>
      <c r="AO349" s="277"/>
      <c r="AP349" s="303"/>
      <c r="AQ349" s="303"/>
      <c r="AR349" s="304"/>
      <c r="AS349" s="303"/>
      <c r="AT349" s="303"/>
      <c r="AU349" s="303"/>
      <c r="AV349" s="303"/>
      <c r="AW349" s="213"/>
      <c r="AX349" s="213"/>
      <c r="AY349" s="213"/>
      <c r="AZ349" s="213"/>
      <c r="BA349" s="213"/>
      <c r="BB349" s="213"/>
      <c r="BC349" s="213"/>
      <c r="BD349" s="213"/>
      <c r="BE349" s="213"/>
      <c r="BF349" s="213"/>
      <c r="BG349" s="213"/>
      <c r="BH349" s="213"/>
      <c r="BI349" s="213"/>
      <c r="BJ349" s="213"/>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row>
    <row r="350" spans="1:243" ht="15.6">
      <c r="A350" s="170"/>
      <c r="B350" s="327"/>
      <c r="C350" s="328"/>
      <c r="D350" s="328"/>
      <c r="E350" s="328"/>
      <c r="F350" s="328"/>
      <c r="G350" s="328"/>
      <c r="H350" s="328"/>
      <c r="I350" s="328"/>
      <c r="J350" s="328"/>
      <c r="K350" s="328"/>
      <c r="L350" s="328"/>
      <c r="M350" s="328"/>
      <c r="N350" s="328"/>
      <c r="O350" s="328"/>
      <c r="P350" s="333"/>
      <c r="S350" s="277"/>
      <c r="T350" s="277"/>
      <c r="U350" s="277"/>
      <c r="V350" s="277"/>
      <c r="W350" s="277"/>
      <c r="X350" s="277"/>
      <c r="Y350" s="277"/>
      <c r="Z350" s="277"/>
      <c r="AA350" s="277"/>
      <c r="AB350" s="277"/>
      <c r="AC350" s="277"/>
      <c r="AD350" s="277"/>
      <c r="AE350" s="277"/>
      <c r="AF350" s="277"/>
      <c r="AG350" s="277"/>
      <c r="AH350" s="277"/>
      <c r="AI350" s="277"/>
      <c r="AJ350" s="216"/>
      <c r="AK350" s="304"/>
      <c r="AL350" s="303"/>
      <c r="AM350" s="216"/>
      <c r="AN350" s="304"/>
      <c r="AO350" s="277"/>
      <c r="AP350" s="303"/>
      <c r="AQ350" s="303"/>
      <c r="AR350" s="304"/>
      <c r="AS350" s="303"/>
      <c r="AT350" s="303"/>
      <c r="AU350" s="303"/>
      <c r="AV350" s="303"/>
      <c r="AW350" s="213"/>
      <c r="AX350" s="213"/>
      <c r="AY350" s="213"/>
      <c r="AZ350" s="213"/>
      <c r="BA350" s="213"/>
      <c r="BB350" s="213"/>
      <c r="BC350" s="213"/>
      <c r="BD350" s="213"/>
      <c r="BE350" s="213"/>
      <c r="BF350" s="213"/>
      <c r="BG350" s="213"/>
      <c r="BH350" s="213"/>
      <c r="BI350" s="213"/>
      <c r="BJ350" s="213"/>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row>
    <row r="351" spans="1:243" ht="15.6">
      <c r="A351" s="1774" t="s">
        <v>3024</v>
      </c>
      <c r="B351" s="1775"/>
      <c r="C351" s="1775"/>
      <c r="D351" s="1775"/>
      <c r="E351" s="1775"/>
      <c r="F351" s="1775"/>
      <c r="G351" s="1775"/>
      <c r="H351" s="1775"/>
      <c r="I351" s="1775"/>
      <c r="J351" s="1775"/>
      <c r="K351" s="1775"/>
      <c r="L351" s="1775"/>
      <c r="M351" s="1775"/>
      <c r="N351" s="1775"/>
      <c r="O351" s="1775"/>
      <c r="P351" s="1775"/>
      <c r="S351" s="277"/>
      <c r="T351" s="277"/>
      <c r="U351" s="277"/>
      <c r="V351" s="277"/>
      <c r="W351" s="277"/>
      <c r="X351" s="277"/>
      <c r="Y351" s="277"/>
      <c r="Z351" s="277"/>
      <c r="AA351" s="277"/>
      <c r="AB351" s="277"/>
      <c r="AC351" s="277"/>
      <c r="AD351" s="277"/>
      <c r="AE351" s="277"/>
      <c r="AF351" s="277"/>
      <c r="AG351" s="277"/>
      <c r="AH351" s="277"/>
      <c r="AI351" s="277"/>
      <c r="AJ351" s="216"/>
      <c r="AK351" s="304"/>
      <c r="AL351" s="303"/>
      <c r="AM351" s="216"/>
      <c r="AN351" s="304"/>
      <c r="AO351" s="277"/>
      <c r="AP351" s="303"/>
      <c r="AQ351" s="303"/>
      <c r="AR351" s="304"/>
      <c r="AS351" s="303"/>
      <c r="AT351" s="303"/>
      <c r="AU351" s="303"/>
      <c r="AV351" s="303"/>
      <c r="AW351" s="213"/>
      <c r="AX351" s="213"/>
      <c r="AY351" s="213"/>
      <c r="AZ351" s="213"/>
      <c r="BA351" s="213"/>
      <c r="BB351" s="213"/>
      <c r="BC351" s="213"/>
      <c r="BD351" s="213"/>
      <c r="BE351" s="213"/>
      <c r="BF351" s="213"/>
      <c r="BG351" s="213"/>
      <c r="BH351" s="213"/>
      <c r="BI351" s="213"/>
      <c r="BJ351" s="213"/>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row>
    <row r="352" spans="1:243" ht="15.6">
      <c r="A352" s="336" t="s">
        <v>713</v>
      </c>
      <c r="B352" s="342"/>
      <c r="C352" s="341" t="s">
        <v>476</v>
      </c>
      <c r="D352" s="287"/>
      <c r="E352" s="287"/>
      <c r="F352" s="287"/>
      <c r="G352" s="287"/>
      <c r="H352" s="287"/>
      <c r="I352" s="287"/>
      <c r="J352" s="287"/>
      <c r="K352" s="334"/>
      <c r="L352" s="287"/>
      <c r="M352" s="287"/>
      <c r="N352" s="287"/>
      <c r="O352" s="287"/>
      <c r="P352" s="339"/>
      <c r="S352" s="277"/>
      <c r="T352" s="277"/>
      <c r="U352" s="277"/>
      <c r="V352" s="277"/>
      <c r="W352" s="277"/>
      <c r="X352" s="277"/>
      <c r="Y352" s="277"/>
      <c r="Z352" s="277"/>
      <c r="AA352" s="277"/>
      <c r="AB352" s="277"/>
      <c r="AC352" s="277"/>
      <c r="AD352" s="277"/>
      <c r="AE352" s="277"/>
      <c r="AF352" s="277"/>
      <c r="AG352" s="277"/>
      <c r="AH352" s="277"/>
      <c r="AI352" s="277"/>
      <c r="AJ352" s="216"/>
      <c r="AK352" s="304"/>
      <c r="AL352" s="303"/>
      <c r="AM352" s="216"/>
      <c r="AN352" s="304"/>
      <c r="AO352" s="277"/>
      <c r="AP352" s="303"/>
      <c r="AQ352" s="303"/>
      <c r="AR352" s="304"/>
      <c r="AS352" s="303"/>
      <c r="AT352" s="303"/>
      <c r="AU352" s="303"/>
      <c r="AV352" s="303"/>
      <c r="AW352" s="213"/>
      <c r="AX352" s="213"/>
      <c r="AY352" s="213"/>
      <c r="AZ352" s="213"/>
      <c r="BA352" s="213"/>
      <c r="BB352" s="213"/>
      <c r="BC352" s="213"/>
      <c r="BD352" s="213"/>
      <c r="BE352" s="213"/>
      <c r="BF352" s="213"/>
      <c r="BG352" s="213"/>
      <c r="BH352" s="213"/>
      <c r="BI352" s="213"/>
      <c r="BJ352" s="213"/>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row>
    <row r="353" spans="1:243" ht="18.600000000000001">
      <c r="A353" s="355" t="s">
        <v>494</v>
      </c>
      <c r="B353" s="355" t="s">
        <v>1078</v>
      </c>
      <c r="C353" s="334"/>
      <c r="D353" s="1778" t="s">
        <v>714</v>
      </c>
      <c r="E353" s="1779"/>
      <c r="F353" s="1779"/>
      <c r="G353" s="1779"/>
      <c r="H353" s="1779"/>
      <c r="I353" s="1779"/>
      <c r="J353" s="1779"/>
      <c r="K353" s="1779"/>
      <c r="L353" s="1779"/>
      <c r="M353" s="1779"/>
      <c r="N353" s="1779"/>
      <c r="O353" s="1779"/>
      <c r="P353" s="357"/>
      <c r="S353" s="277"/>
      <c r="T353" s="277"/>
      <c r="U353" s="277"/>
      <c r="V353" s="277"/>
      <c r="W353" s="277"/>
      <c r="X353" s="277"/>
      <c r="Y353" s="277"/>
      <c r="Z353" s="277"/>
      <c r="AA353" s="277"/>
      <c r="AB353" s="277"/>
      <c r="AC353" s="277"/>
      <c r="AD353" s="277"/>
      <c r="AE353" s="277"/>
      <c r="AF353" s="277"/>
      <c r="AG353" s="277"/>
      <c r="AH353" s="277"/>
      <c r="AI353" s="277"/>
      <c r="AJ353" s="216"/>
      <c r="AK353" s="304"/>
      <c r="AL353" s="303"/>
      <c r="AM353" s="216"/>
      <c r="AN353" s="304"/>
      <c r="AO353" s="277"/>
      <c r="AP353" s="303"/>
      <c r="AQ353" s="303"/>
      <c r="AR353" s="304"/>
      <c r="AS353" s="303"/>
      <c r="AT353" s="303"/>
      <c r="AU353" s="303"/>
      <c r="AV353" s="303"/>
      <c r="AW353" s="213"/>
      <c r="AX353" s="213"/>
      <c r="AY353" s="213"/>
      <c r="AZ353" s="213"/>
      <c r="BA353" s="213"/>
      <c r="BB353" s="213"/>
      <c r="BC353" s="213"/>
      <c r="BD353" s="213"/>
      <c r="BE353" s="213"/>
      <c r="BF353" s="213"/>
      <c r="BG353" s="213"/>
      <c r="BH353" s="213"/>
      <c r="BI353" s="213"/>
      <c r="BJ353" s="21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row>
    <row r="354" spans="1:243" ht="15.6">
      <c r="A354" s="322" t="s">
        <v>928</v>
      </c>
      <c r="B354" s="322" t="s">
        <v>928</v>
      </c>
      <c r="C354" s="335"/>
      <c r="D354" s="358" t="s">
        <v>715</v>
      </c>
      <c r="E354" s="358" t="s">
        <v>716</v>
      </c>
      <c r="F354" s="358" t="s">
        <v>717</v>
      </c>
      <c r="G354" s="358" t="s">
        <v>718</v>
      </c>
      <c r="H354" s="358" t="s">
        <v>719</v>
      </c>
      <c r="I354" s="358" t="s">
        <v>720</v>
      </c>
      <c r="J354" s="358" t="s">
        <v>721</v>
      </c>
      <c r="K354" s="358" t="s">
        <v>722</v>
      </c>
      <c r="L354" s="358" t="s">
        <v>723</v>
      </c>
      <c r="M354" s="358" t="s">
        <v>724</v>
      </c>
      <c r="N354" s="358" t="s">
        <v>725</v>
      </c>
      <c r="O354" s="358" t="s">
        <v>726</v>
      </c>
      <c r="P354" s="359"/>
      <c r="S354" s="277"/>
      <c r="T354" s="277"/>
      <c r="U354" s="277"/>
      <c r="V354" s="277"/>
      <c r="W354" s="277"/>
      <c r="X354" s="277"/>
      <c r="Y354" s="277"/>
      <c r="Z354" s="277"/>
      <c r="AA354" s="277"/>
      <c r="AB354" s="277"/>
      <c r="AC354" s="277"/>
      <c r="AD354" s="277"/>
      <c r="AE354" s="277"/>
      <c r="AF354" s="277"/>
      <c r="AG354" s="277"/>
      <c r="AH354" s="277"/>
      <c r="AI354" s="277"/>
      <c r="AJ354" s="216"/>
      <c r="AK354" s="304"/>
      <c r="AL354" s="303"/>
      <c r="AM354" s="216"/>
      <c r="AN354" s="304"/>
      <c r="AO354" s="277"/>
      <c r="AP354" s="303"/>
      <c r="AQ354" s="303"/>
      <c r="AR354" s="304"/>
      <c r="AS354" s="303"/>
      <c r="AT354" s="303"/>
      <c r="AU354" s="303"/>
      <c r="AV354" s="303"/>
      <c r="AW354" s="213"/>
      <c r="AX354" s="213"/>
      <c r="AY354" s="213"/>
      <c r="AZ354" s="213"/>
      <c r="BA354" s="213"/>
      <c r="BB354" s="213"/>
      <c r="BC354" s="213"/>
      <c r="BD354" s="213"/>
      <c r="BE354" s="213"/>
      <c r="BF354" s="213"/>
      <c r="BG354" s="213"/>
      <c r="BH354" s="213"/>
      <c r="BI354" s="213"/>
      <c r="BJ354" s="213"/>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row>
    <row r="355" spans="1:243" ht="15.6">
      <c r="A355" s="170">
        <v>1</v>
      </c>
      <c r="B355" s="327">
        <v>311</v>
      </c>
      <c r="C355" s="325"/>
      <c r="D355" s="907">
        <v>0</v>
      </c>
      <c r="E355" s="907">
        <v>0</v>
      </c>
      <c r="F355" s="907">
        <v>0</v>
      </c>
      <c r="G355" s="907">
        <v>0</v>
      </c>
      <c r="H355" s="907">
        <v>0</v>
      </c>
      <c r="I355" s="907">
        <v>0</v>
      </c>
      <c r="J355" s="907">
        <v>0</v>
      </c>
      <c r="K355" s="907">
        <v>0</v>
      </c>
      <c r="L355" s="907">
        <v>0</v>
      </c>
      <c r="M355" s="907">
        <v>0</v>
      </c>
      <c r="N355" s="907">
        <v>0</v>
      </c>
      <c r="O355" s="907">
        <v>0</v>
      </c>
      <c r="P355" s="369"/>
      <c r="S355" s="277"/>
      <c r="T355" s="277"/>
      <c r="U355" s="277"/>
      <c r="V355" s="277"/>
      <c r="W355" s="277"/>
      <c r="X355" s="277"/>
      <c r="Y355" s="277"/>
      <c r="Z355" s="277"/>
      <c r="AA355" s="277"/>
      <c r="AB355" s="277"/>
      <c r="AC355" s="277"/>
      <c r="AD355" s="277"/>
      <c r="AE355" s="277"/>
      <c r="AF355" s="277"/>
      <c r="AG355" s="277"/>
      <c r="AH355" s="277"/>
      <c r="AI355" s="277"/>
      <c r="AJ355" s="216"/>
      <c r="AK355" s="304"/>
      <c r="AL355" s="303"/>
      <c r="AM355" s="216"/>
      <c r="AN355" s="304"/>
      <c r="AO355" s="277"/>
      <c r="AP355" s="303"/>
      <c r="AQ355" s="303"/>
      <c r="AR355" s="304"/>
      <c r="AS355" s="303"/>
      <c r="AT355" s="303"/>
      <c r="AU355" s="303"/>
      <c r="AV355" s="303"/>
      <c r="AW355" s="213"/>
      <c r="AX355" s="213"/>
      <c r="AY355" s="213"/>
      <c r="AZ355" s="213"/>
      <c r="BA355" s="213"/>
      <c r="BB355" s="213"/>
      <c r="BC355" s="213"/>
      <c r="BD355" s="213"/>
      <c r="BE355" s="213"/>
      <c r="BF355" s="213"/>
      <c r="BG355" s="213"/>
      <c r="BH355" s="213"/>
      <c r="BI355" s="213"/>
      <c r="BJ355" s="213"/>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row>
    <row r="356" spans="1:243" ht="15.6">
      <c r="A356" s="170">
        <f>A355+1</f>
        <v>2</v>
      </c>
      <c r="B356" s="327">
        <v>312</v>
      </c>
      <c r="C356" s="325"/>
      <c r="D356" s="907">
        <v>0</v>
      </c>
      <c r="E356" s="907">
        <v>0</v>
      </c>
      <c r="F356" s="907">
        <v>0</v>
      </c>
      <c r="G356" s="907">
        <v>0</v>
      </c>
      <c r="H356" s="907">
        <v>0</v>
      </c>
      <c r="I356" s="907">
        <v>0</v>
      </c>
      <c r="J356" s="907">
        <v>0</v>
      </c>
      <c r="K356" s="907">
        <v>0</v>
      </c>
      <c r="L356" s="907">
        <v>0</v>
      </c>
      <c r="M356" s="907">
        <v>0</v>
      </c>
      <c r="N356" s="907">
        <v>0</v>
      </c>
      <c r="O356" s="907">
        <v>0</v>
      </c>
      <c r="P356" s="369"/>
      <c r="S356" s="277"/>
      <c r="T356" s="277"/>
      <c r="U356" s="277"/>
      <c r="V356" s="277"/>
      <c r="W356" s="277"/>
      <c r="X356" s="277"/>
      <c r="Y356" s="277"/>
      <c r="Z356" s="277"/>
      <c r="AA356" s="277"/>
      <c r="AB356" s="277"/>
      <c r="AC356" s="277"/>
      <c r="AD356" s="277"/>
      <c r="AE356" s="277"/>
      <c r="AF356" s="277"/>
      <c r="AG356" s="277"/>
      <c r="AH356" s="277"/>
      <c r="AI356" s="277"/>
      <c r="AJ356" s="216"/>
      <c r="AK356" s="304"/>
      <c r="AL356" s="303"/>
      <c r="AM356" s="216"/>
      <c r="AN356" s="304"/>
      <c r="AO356" s="277"/>
      <c r="AP356" s="303"/>
      <c r="AQ356" s="303"/>
      <c r="AR356" s="304"/>
      <c r="AS356" s="303"/>
      <c r="AT356" s="303"/>
      <c r="AU356" s="303"/>
      <c r="AV356" s="303"/>
      <c r="AW356" s="213"/>
      <c r="AX356" s="213"/>
      <c r="AY356" s="213"/>
      <c r="AZ356" s="213"/>
      <c r="BA356" s="213"/>
      <c r="BB356" s="213"/>
      <c r="BC356" s="213"/>
      <c r="BD356" s="213"/>
      <c r="BE356" s="213"/>
      <c r="BF356" s="213"/>
      <c r="BG356" s="213"/>
      <c r="BH356" s="213"/>
      <c r="BI356" s="213"/>
      <c r="BJ356" s="213"/>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row>
    <row r="357" spans="1:243" ht="15.6">
      <c r="A357" s="170">
        <f t="shared" ref="A357:A371" si="67">A356+1</f>
        <v>3</v>
      </c>
      <c r="B357" s="327">
        <v>312.10000000000002</v>
      </c>
      <c r="C357" s="325"/>
      <c r="D357" s="907">
        <v>0</v>
      </c>
      <c r="E357" s="907">
        <v>0</v>
      </c>
      <c r="F357" s="907">
        <v>0</v>
      </c>
      <c r="G357" s="907">
        <v>0</v>
      </c>
      <c r="H357" s="907">
        <v>0</v>
      </c>
      <c r="I357" s="907">
        <v>0</v>
      </c>
      <c r="J357" s="907">
        <v>0</v>
      </c>
      <c r="K357" s="907">
        <v>0</v>
      </c>
      <c r="L357" s="907">
        <v>0</v>
      </c>
      <c r="M357" s="907">
        <v>0</v>
      </c>
      <c r="N357" s="907">
        <v>0</v>
      </c>
      <c r="O357" s="907">
        <v>0</v>
      </c>
      <c r="P357" s="369"/>
      <c r="S357" s="277"/>
      <c r="T357" s="277"/>
      <c r="U357" s="277"/>
      <c r="V357" s="277"/>
      <c r="W357" s="277"/>
      <c r="X357" s="277"/>
      <c r="Y357" s="277"/>
      <c r="Z357" s="277"/>
      <c r="AA357" s="277"/>
      <c r="AB357" s="277"/>
      <c r="AC357" s="277"/>
      <c r="AD357" s="277"/>
      <c r="AE357" s="277"/>
      <c r="AF357" s="277"/>
      <c r="AG357" s="277"/>
      <c r="AH357" s="277"/>
      <c r="AI357" s="277"/>
      <c r="AJ357" s="216"/>
      <c r="AK357" s="304"/>
      <c r="AL357" s="303"/>
      <c r="AM357" s="216"/>
      <c r="AN357" s="304"/>
      <c r="AO357" s="277"/>
      <c r="AP357" s="303"/>
      <c r="AQ357" s="303"/>
      <c r="AR357" s="304"/>
      <c r="AS357" s="303"/>
      <c r="AT357" s="303"/>
      <c r="AU357" s="303"/>
      <c r="AV357" s="303"/>
      <c r="AW357" s="213"/>
      <c r="AX357" s="213"/>
      <c r="AY357" s="213"/>
      <c r="AZ357" s="213"/>
      <c r="BA357" s="213"/>
      <c r="BB357" s="213"/>
      <c r="BC357" s="213"/>
      <c r="BD357" s="213"/>
      <c r="BE357" s="213"/>
      <c r="BF357" s="213"/>
      <c r="BG357" s="213"/>
      <c r="BH357" s="213"/>
      <c r="BI357" s="213"/>
      <c r="BJ357" s="213"/>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row>
    <row r="358" spans="1:243" ht="15.6">
      <c r="A358" s="170">
        <f t="shared" si="67"/>
        <v>4</v>
      </c>
      <c r="B358" s="327">
        <v>312.2</v>
      </c>
      <c r="C358" s="325"/>
      <c r="D358" s="907">
        <v>0</v>
      </c>
      <c r="E358" s="907">
        <v>0</v>
      </c>
      <c r="F358" s="907">
        <v>0</v>
      </c>
      <c r="G358" s="907">
        <v>0</v>
      </c>
      <c r="H358" s="907">
        <v>0</v>
      </c>
      <c r="I358" s="907">
        <v>0</v>
      </c>
      <c r="J358" s="907">
        <v>0</v>
      </c>
      <c r="K358" s="907">
        <v>0</v>
      </c>
      <c r="L358" s="907">
        <v>0</v>
      </c>
      <c r="M358" s="907">
        <v>0</v>
      </c>
      <c r="N358" s="907">
        <v>0</v>
      </c>
      <c r="O358" s="907">
        <v>0</v>
      </c>
      <c r="P358" s="369"/>
      <c r="S358" s="277"/>
      <c r="T358" s="277"/>
      <c r="U358" s="277"/>
      <c r="V358" s="277"/>
      <c r="W358" s="277"/>
      <c r="X358" s="277"/>
      <c r="Y358" s="277"/>
      <c r="Z358" s="277"/>
      <c r="AA358" s="277"/>
      <c r="AB358" s="277"/>
      <c r="AC358" s="277"/>
      <c r="AD358" s="277"/>
      <c r="AE358" s="277"/>
      <c r="AF358" s="277"/>
      <c r="AG358" s="277"/>
      <c r="AH358" s="277"/>
      <c r="AI358" s="277"/>
      <c r="AJ358" s="216"/>
      <c r="AK358" s="304"/>
      <c r="AL358" s="303"/>
      <c r="AM358" s="216"/>
      <c r="AN358" s="304"/>
      <c r="AO358" s="277"/>
      <c r="AP358" s="303"/>
      <c r="AQ358" s="303"/>
      <c r="AR358" s="304"/>
      <c r="AS358" s="303"/>
      <c r="AT358" s="303"/>
      <c r="AU358" s="303"/>
      <c r="AV358" s="303"/>
      <c r="AW358" s="213"/>
      <c r="AX358" s="213"/>
      <c r="AY358" s="213"/>
      <c r="AZ358" s="213"/>
      <c r="BA358" s="213"/>
      <c r="BB358" s="213"/>
      <c r="BC358" s="213"/>
      <c r="BD358" s="213"/>
      <c r="BE358" s="213"/>
      <c r="BF358" s="213"/>
      <c r="BG358" s="213"/>
      <c r="BH358" s="213"/>
      <c r="BI358" s="213"/>
      <c r="BJ358" s="213"/>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row>
    <row r="359" spans="1:243" ht="15.6">
      <c r="A359" s="170">
        <f t="shared" si="67"/>
        <v>5</v>
      </c>
      <c r="B359" s="327">
        <v>314</v>
      </c>
      <c r="C359" s="325"/>
      <c r="D359" s="907">
        <v>0</v>
      </c>
      <c r="E359" s="907">
        <v>0</v>
      </c>
      <c r="F359" s="907">
        <v>0</v>
      </c>
      <c r="G359" s="907">
        <v>0</v>
      </c>
      <c r="H359" s="907">
        <v>0</v>
      </c>
      <c r="I359" s="907">
        <v>0</v>
      </c>
      <c r="J359" s="907">
        <v>0</v>
      </c>
      <c r="K359" s="907">
        <v>0</v>
      </c>
      <c r="L359" s="907">
        <v>0</v>
      </c>
      <c r="M359" s="907">
        <v>0</v>
      </c>
      <c r="N359" s="907">
        <v>0</v>
      </c>
      <c r="O359" s="907">
        <v>0</v>
      </c>
      <c r="P359" s="369"/>
      <c r="S359" s="277"/>
      <c r="T359" s="277"/>
      <c r="U359" s="277"/>
      <c r="V359" s="277"/>
      <c r="W359" s="277"/>
      <c r="X359" s="277"/>
      <c r="Y359" s="277"/>
      <c r="Z359" s="277"/>
      <c r="AA359" s="277"/>
      <c r="AB359" s="277"/>
      <c r="AC359" s="277"/>
      <c r="AD359" s="277"/>
      <c r="AE359" s="277"/>
      <c r="AF359" s="277"/>
      <c r="AG359" s="277"/>
      <c r="AH359" s="277"/>
      <c r="AI359" s="277"/>
      <c r="AJ359" s="216"/>
      <c r="AK359" s="304"/>
      <c r="AL359" s="303"/>
      <c r="AM359" s="216"/>
      <c r="AN359" s="304"/>
      <c r="AO359" s="277"/>
      <c r="AP359" s="303"/>
      <c r="AQ359" s="303"/>
      <c r="AR359" s="304"/>
      <c r="AS359" s="303"/>
      <c r="AT359" s="303"/>
      <c r="AU359" s="303"/>
      <c r="AV359" s="303"/>
      <c r="AW359" s="213"/>
      <c r="AX359" s="213"/>
      <c r="AY359" s="213"/>
      <c r="AZ359" s="213"/>
      <c r="BA359" s="213"/>
      <c r="BB359" s="213"/>
      <c r="BC359" s="213"/>
      <c r="BD359" s="213"/>
      <c r="BE359" s="213"/>
      <c r="BF359" s="213"/>
      <c r="BG359" s="213"/>
      <c r="BH359" s="213"/>
      <c r="BI359" s="213"/>
      <c r="BJ359" s="213"/>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row>
    <row r="360" spans="1:243" ht="15.6">
      <c r="A360" s="170">
        <f t="shared" si="67"/>
        <v>6</v>
      </c>
      <c r="B360" s="327">
        <v>315</v>
      </c>
      <c r="C360" s="325"/>
      <c r="D360" s="907">
        <v>0</v>
      </c>
      <c r="E360" s="907">
        <v>0</v>
      </c>
      <c r="F360" s="907">
        <v>0</v>
      </c>
      <c r="G360" s="907">
        <v>0</v>
      </c>
      <c r="H360" s="907">
        <v>0</v>
      </c>
      <c r="I360" s="907">
        <v>0</v>
      </c>
      <c r="J360" s="907">
        <v>0</v>
      </c>
      <c r="K360" s="907">
        <v>0</v>
      </c>
      <c r="L360" s="907">
        <v>0</v>
      </c>
      <c r="M360" s="907">
        <v>0</v>
      </c>
      <c r="N360" s="907">
        <v>0</v>
      </c>
      <c r="O360" s="907">
        <v>0</v>
      </c>
      <c r="P360" s="369"/>
      <c r="S360" s="277"/>
      <c r="T360" s="277"/>
      <c r="U360" s="277"/>
      <c r="V360" s="277"/>
      <c r="W360" s="277"/>
      <c r="X360" s="277"/>
      <c r="Y360" s="277"/>
      <c r="Z360" s="277"/>
      <c r="AA360" s="277"/>
      <c r="AB360" s="277"/>
      <c r="AC360" s="277"/>
      <c r="AD360" s="277"/>
      <c r="AE360" s="277"/>
      <c r="AF360" s="277"/>
      <c r="AG360" s="277"/>
      <c r="AH360" s="277"/>
      <c r="AI360" s="277"/>
      <c r="AJ360" s="216"/>
      <c r="AK360" s="304"/>
      <c r="AL360" s="303"/>
      <c r="AM360" s="216"/>
      <c r="AN360" s="304"/>
      <c r="AO360" s="277"/>
      <c r="AP360" s="303"/>
      <c r="AQ360" s="303"/>
      <c r="AR360" s="304"/>
      <c r="AS360" s="303"/>
      <c r="AT360" s="303"/>
      <c r="AU360" s="303"/>
      <c r="AV360" s="303"/>
      <c r="AW360" s="213"/>
      <c r="AX360" s="213"/>
      <c r="AY360" s="213"/>
      <c r="AZ360" s="213"/>
      <c r="BA360" s="213"/>
      <c r="BB360" s="213"/>
      <c r="BC360" s="213"/>
      <c r="BD360" s="213"/>
      <c r="BE360" s="213"/>
      <c r="BF360" s="213"/>
      <c r="BG360" s="213"/>
      <c r="BH360" s="213"/>
      <c r="BI360" s="213"/>
      <c r="BJ360" s="213"/>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row>
    <row r="361" spans="1:243" ht="15.6">
      <c r="A361" s="170">
        <f t="shared" si="67"/>
        <v>7</v>
      </c>
      <c r="B361" s="327">
        <v>316</v>
      </c>
      <c r="C361" s="325"/>
      <c r="D361" s="907">
        <v>0</v>
      </c>
      <c r="E361" s="907">
        <v>0</v>
      </c>
      <c r="F361" s="907">
        <v>0</v>
      </c>
      <c r="G361" s="907">
        <v>0</v>
      </c>
      <c r="H361" s="907">
        <v>0</v>
      </c>
      <c r="I361" s="907">
        <v>0</v>
      </c>
      <c r="J361" s="907">
        <v>0</v>
      </c>
      <c r="K361" s="907">
        <v>0</v>
      </c>
      <c r="L361" s="907">
        <v>0</v>
      </c>
      <c r="M361" s="907">
        <v>0</v>
      </c>
      <c r="N361" s="907">
        <v>0</v>
      </c>
      <c r="O361" s="907">
        <v>0</v>
      </c>
      <c r="P361" s="369"/>
      <c r="S361" s="277"/>
      <c r="T361" s="277"/>
      <c r="U361" s="277"/>
      <c r="V361" s="277"/>
      <c r="W361" s="277"/>
      <c r="X361" s="277"/>
      <c r="Y361" s="277"/>
      <c r="Z361" s="277"/>
      <c r="AA361" s="277"/>
      <c r="AB361" s="277"/>
      <c r="AC361" s="277"/>
      <c r="AD361" s="277"/>
      <c r="AE361" s="277"/>
      <c r="AF361" s="277"/>
      <c r="AG361" s="277"/>
      <c r="AH361" s="277"/>
      <c r="AI361" s="277"/>
      <c r="AJ361" s="216"/>
      <c r="AK361" s="304"/>
      <c r="AL361" s="303"/>
      <c r="AM361" s="216"/>
      <c r="AN361" s="304"/>
      <c r="AO361" s="277"/>
      <c r="AP361" s="303"/>
      <c r="AQ361" s="303"/>
      <c r="AR361" s="304"/>
      <c r="AS361" s="303"/>
      <c r="AT361" s="303"/>
      <c r="AU361" s="303"/>
      <c r="AV361" s="303"/>
      <c r="AW361" s="213"/>
      <c r="AX361" s="213"/>
      <c r="AY361" s="213"/>
      <c r="AZ361" s="213"/>
      <c r="BA361" s="213"/>
      <c r="BB361" s="213"/>
      <c r="BC361" s="213"/>
      <c r="BD361" s="213"/>
      <c r="BE361" s="213"/>
      <c r="BF361" s="213"/>
      <c r="BG361" s="213"/>
      <c r="BH361" s="213"/>
      <c r="BI361" s="213"/>
      <c r="BJ361" s="213"/>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row>
    <row r="362" spans="1:243" ht="15.6">
      <c r="A362" s="170"/>
      <c r="B362" s="327"/>
      <c r="C362" s="287"/>
      <c r="D362" s="328"/>
      <c r="E362" s="328"/>
      <c r="F362" s="328"/>
      <c r="G362" s="328"/>
      <c r="H362" s="328"/>
      <c r="I362" s="328"/>
      <c r="J362" s="328"/>
      <c r="K362" s="328"/>
      <c r="L362" s="328"/>
      <c r="M362" s="328"/>
      <c r="N362" s="328"/>
      <c r="O362" s="328"/>
      <c r="P362" s="339"/>
      <c r="S362" s="277"/>
      <c r="T362" s="277"/>
      <c r="U362" s="277"/>
      <c r="V362" s="277"/>
      <c r="W362" s="277"/>
      <c r="X362" s="277"/>
      <c r="Y362" s="277"/>
      <c r="Z362" s="277"/>
      <c r="AA362" s="277"/>
      <c r="AB362" s="277"/>
      <c r="AC362" s="277"/>
      <c r="AD362" s="277"/>
      <c r="AE362" s="277"/>
      <c r="AF362" s="277"/>
      <c r="AG362" s="277"/>
      <c r="AH362" s="277"/>
      <c r="AI362" s="277"/>
      <c r="AJ362" s="216"/>
      <c r="AK362" s="304"/>
      <c r="AL362" s="303"/>
      <c r="AM362" s="216"/>
      <c r="AN362" s="304"/>
      <c r="AO362" s="277"/>
      <c r="AP362" s="303"/>
      <c r="AQ362" s="303"/>
      <c r="AR362" s="304"/>
      <c r="AS362" s="303"/>
      <c r="AT362" s="303"/>
      <c r="AU362" s="303"/>
      <c r="AV362" s="303"/>
      <c r="AW362" s="213"/>
      <c r="AX362" s="213"/>
      <c r="AY362" s="213"/>
      <c r="AZ362" s="213"/>
      <c r="BA362" s="213"/>
      <c r="BB362" s="213"/>
      <c r="BC362" s="213"/>
      <c r="BD362" s="213"/>
      <c r="BE362" s="213"/>
      <c r="BF362" s="213"/>
      <c r="BG362" s="213"/>
      <c r="BH362" s="213"/>
      <c r="BI362" s="213"/>
      <c r="BJ362" s="213"/>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row>
    <row r="363" spans="1:243" ht="18.600000000000001">
      <c r="A363" s="170"/>
      <c r="B363" s="355" t="s">
        <v>1078</v>
      </c>
      <c r="C363" s="334" t="s">
        <v>727</v>
      </c>
      <c r="D363" s="1778" t="s">
        <v>728</v>
      </c>
      <c r="E363" s="1779"/>
      <c r="F363" s="1779"/>
      <c r="G363" s="1779"/>
      <c r="H363" s="1779"/>
      <c r="I363" s="1779"/>
      <c r="J363" s="1779"/>
      <c r="K363" s="1779"/>
      <c r="L363" s="1779"/>
      <c r="M363" s="1779"/>
      <c r="N363" s="1779"/>
      <c r="O363" s="1779"/>
      <c r="P363" s="1779"/>
      <c r="S363" s="277"/>
      <c r="T363" s="277"/>
      <c r="U363" s="277"/>
      <c r="V363" s="277"/>
      <c r="W363" s="277"/>
      <c r="X363" s="277"/>
      <c r="Y363" s="277"/>
      <c r="Z363" s="277"/>
      <c r="AA363" s="277"/>
      <c r="AB363" s="277"/>
      <c r="AC363" s="277"/>
      <c r="AD363" s="277"/>
      <c r="AE363" s="277"/>
      <c r="AF363" s="277"/>
      <c r="AG363" s="277"/>
      <c r="AH363" s="277"/>
      <c r="AI363" s="277"/>
      <c r="AJ363" s="216"/>
      <c r="AK363" s="304"/>
      <c r="AL363" s="303"/>
      <c r="AM363" s="216"/>
      <c r="AN363" s="304"/>
      <c r="AO363" s="277"/>
      <c r="AP363" s="303"/>
      <c r="AQ363" s="303"/>
      <c r="AR363" s="304"/>
      <c r="AS363" s="303"/>
      <c r="AT363" s="303"/>
      <c r="AU363" s="303"/>
      <c r="AV363" s="303"/>
      <c r="AW363" s="213"/>
      <c r="AX363" s="213"/>
      <c r="AY363" s="213"/>
      <c r="AZ363" s="213"/>
      <c r="BA363" s="213"/>
      <c r="BB363" s="213"/>
      <c r="BC363" s="213"/>
      <c r="BD363" s="213"/>
      <c r="BE363" s="213"/>
      <c r="BF363" s="213"/>
      <c r="BG363" s="213"/>
      <c r="BH363" s="213"/>
      <c r="BI363" s="213"/>
      <c r="BJ363" s="21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row>
    <row r="364" spans="1:243" ht="18.600000000000001">
      <c r="A364" s="170"/>
      <c r="B364" s="322" t="s">
        <v>928</v>
      </c>
      <c r="C364" s="335" t="s">
        <v>729</v>
      </c>
      <c r="D364" s="358" t="s">
        <v>716</v>
      </c>
      <c r="E364" s="358" t="s">
        <v>717</v>
      </c>
      <c r="F364" s="358" t="s">
        <v>718</v>
      </c>
      <c r="G364" s="358" t="s">
        <v>719</v>
      </c>
      <c r="H364" s="358" t="s">
        <v>720</v>
      </c>
      <c r="I364" s="358" t="s">
        <v>721</v>
      </c>
      <c r="J364" s="358" t="s">
        <v>722</v>
      </c>
      <c r="K364" s="358" t="s">
        <v>723</v>
      </c>
      <c r="L364" s="358" t="s">
        <v>724</v>
      </c>
      <c r="M364" s="358" t="s">
        <v>725</v>
      </c>
      <c r="N364" s="358" t="s">
        <v>726</v>
      </c>
      <c r="O364" s="358" t="s">
        <v>715</v>
      </c>
      <c r="P364" s="360" t="s">
        <v>468</v>
      </c>
      <c r="S364" s="277"/>
      <c r="T364" s="277"/>
      <c r="U364" s="277"/>
      <c r="V364" s="277"/>
      <c r="W364" s="277"/>
      <c r="X364" s="277"/>
      <c r="Y364" s="277"/>
      <c r="Z364" s="277"/>
      <c r="AA364" s="277"/>
      <c r="AB364" s="277"/>
      <c r="AC364" s="277"/>
      <c r="AD364" s="277"/>
      <c r="AE364" s="277"/>
      <c r="AF364" s="277"/>
      <c r="AG364" s="277"/>
      <c r="AH364" s="277"/>
      <c r="AI364" s="277"/>
      <c r="AJ364" s="216"/>
      <c r="AK364" s="304"/>
      <c r="AL364" s="303"/>
      <c r="AM364" s="216"/>
      <c r="AN364" s="304"/>
      <c r="AO364" s="277"/>
      <c r="AP364" s="303"/>
      <c r="AQ364" s="303"/>
      <c r="AR364" s="304"/>
      <c r="AS364" s="303"/>
      <c r="AT364" s="303"/>
      <c r="AU364" s="303"/>
      <c r="AV364" s="303"/>
      <c r="AW364" s="213"/>
      <c r="AX364" s="213"/>
      <c r="AY364" s="213"/>
      <c r="AZ364" s="213"/>
      <c r="BA364" s="213"/>
      <c r="BB364" s="213"/>
      <c r="BC364" s="213"/>
      <c r="BD364" s="213"/>
      <c r="BE364" s="213"/>
      <c r="BF364" s="213"/>
      <c r="BG364" s="213"/>
      <c r="BH364" s="213"/>
      <c r="BI364" s="213"/>
      <c r="BJ364" s="213"/>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row>
    <row r="365" spans="1:243" ht="15.6">
      <c r="A365" s="170">
        <f>A361+1</f>
        <v>8</v>
      </c>
      <c r="B365" s="327">
        <f>B355</f>
        <v>311</v>
      </c>
      <c r="C365" s="906"/>
      <c r="D365" s="603">
        <f>D355*$C365/100/12</f>
        <v>0</v>
      </c>
      <c r="E365" s="603">
        <f t="shared" ref="E365:O365" si="68">E355*$C365/100/12</f>
        <v>0</v>
      </c>
      <c r="F365" s="603">
        <f t="shared" si="68"/>
        <v>0</v>
      </c>
      <c r="G365" s="603">
        <f t="shared" si="68"/>
        <v>0</v>
      </c>
      <c r="H365" s="603">
        <f t="shared" si="68"/>
        <v>0</v>
      </c>
      <c r="I365" s="603">
        <f t="shared" si="68"/>
        <v>0</v>
      </c>
      <c r="J365" s="603">
        <f t="shared" si="68"/>
        <v>0</v>
      </c>
      <c r="K365" s="603">
        <f t="shared" si="68"/>
        <v>0</v>
      </c>
      <c r="L365" s="603">
        <f t="shared" si="68"/>
        <v>0</v>
      </c>
      <c r="M365" s="603">
        <f t="shared" si="68"/>
        <v>0</v>
      </c>
      <c r="N365" s="603">
        <f t="shared" si="68"/>
        <v>0</v>
      </c>
      <c r="O365" s="603">
        <f t="shared" si="68"/>
        <v>0</v>
      </c>
      <c r="P365" s="333">
        <f>SUM(D365:O365)</f>
        <v>0</v>
      </c>
      <c r="S365" s="277"/>
      <c r="T365" s="277"/>
      <c r="U365" s="277"/>
      <c r="V365" s="277"/>
      <c r="W365" s="277"/>
      <c r="X365" s="277"/>
      <c r="Y365" s="277"/>
      <c r="Z365" s="277"/>
      <c r="AA365" s="277"/>
      <c r="AB365" s="277"/>
      <c r="AC365" s="277"/>
      <c r="AD365" s="277"/>
      <c r="AE365" s="277"/>
      <c r="AF365" s="277"/>
      <c r="AG365" s="277"/>
      <c r="AH365" s="277"/>
      <c r="AI365" s="277"/>
      <c r="AJ365" s="216"/>
      <c r="AK365" s="304"/>
      <c r="AL365" s="303"/>
      <c r="AM365" s="216"/>
      <c r="AN365" s="304"/>
      <c r="AO365" s="277"/>
      <c r="AP365" s="303"/>
      <c r="AQ365" s="303"/>
      <c r="AR365" s="304"/>
      <c r="AS365" s="303"/>
      <c r="AT365" s="303"/>
      <c r="AU365" s="303"/>
      <c r="AV365" s="303"/>
      <c r="AW365" s="213"/>
      <c r="AX365" s="213"/>
      <c r="AY365" s="213"/>
      <c r="AZ365" s="213"/>
      <c r="BA365" s="213"/>
      <c r="BB365" s="213"/>
      <c r="BC365" s="213"/>
      <c r="BD365" s="213"/>
      <c r="BE365" s="213"/>
      <c r="BF365" s="213"/>
      <c r="BG365" s="213"/>
      <c r="BH365" s="213"/>
      <c r="BI365" s="213"/>
      <c r="BJ365" s="213"/>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row>
    <row r="366" spans="1:243" ht="15.6">
      <c r="A366" s="170">
        <f>A365+1</f>
        <v>9</v>
      </c>
      <c r="B366" s="327">
        <f t="shared" ref="B366:B371" si="69">B356</f>
        <v>312</v>
      </c>
      <c r="C366" s="906"/>
      <c r="D366" s="603">
        <f t="shared" ref="D366:O371" si="70">D356*$C366/100/12</f>
        <v>0</v>
      </c>
      <c r="E366" s="603">
        <f t="shared" si="70"/>
        <v>0</v>
      </c>
      <c r="F366" s="603">
        <f t="shared" si="70"/>
        <v>0</v>
      </c>
      <c r="G366" s="603">
        <f t="shared" si="70"/>
        <v>0</v>
      </c>
      <c r="H366" s="603">
        <f t="shared" si="70"/>
        <v>0</v>
      </c>
      <c r="I366" s="603">
        <f t="shared" si="70"/>
        <v>0</v>
      </c>
      <c r="J366" s="603">
        <f t="shared" si="70"/>
        <v>0</v>
      </c>
      <c r="K366" s="603">
        <f t="shared" si="70"/>
        <v>0</v>
      </c>
      <c r="L366" s="603">
        <f t="shared" si="70"/>
        <v>0</v>
      </c>
      <c r="M366" s="603">
        <f t="shared" si="70"/>
        <v>0</v>
      </c>
      <c r="N366" s="603">
        <f t="shared" si="70"/>
        <v>0</v>
      </c>
      <c r="O366" s="603">
        <f t="shared" si="70"/>
        <v>0</v>
      </c>
      <c r="P366" s="333">
        <f t="shared" ref="P366:P371" si="71">SUM(D366:O366)</f>
        <v>0</v>
      </c>
      <c r="S366" s="277"/>
      <c r="T366" s="277"/>
      <c r="U366" s="277"/>
      <c r="V366" s="277"/>
      <c r="W366" s="277"/>
      <c r="X366" s="277"/>
      <c r="Y366" s="277"/>
      <c r="Z366" s="277"/>
      <c r="AA366" s="277"/>
      <c r="AB366" s="277"/>
      <c r="AC366" s="277"/>
      <c r="AD366" s="277"/>
      <c r="AE366" s="277"/>
      <c r="AF366" s="277"/>
      <c r="AG366" s="277"/>
      <c r="AH366" s="277"/>
      <c r="AI366" s="277"/>
      <c r="AJ366" s="216"/>
      <c r="AK366" s="304"/>
      <c r="AL366" s="303"/>
      <c r="AM366" s="216"/>
      <c r="AN366" s="304"/>
      <c r="AO366" s="277"/>
      <c r="AP366" s="303"/>
      <c r="AQ366" s="303"/>
      <c r="AR366" s="304"/>
      <c r="AS366" s="303"/>
      <c r="AT366" s="303"/>
      <c r="AU366" s="303"/>
      <c r="AV366" s="303"/>
      <c r="AW366" s="213"/>
      <c r="AX366" s="213"/>
      <c r="AY366" s="213"/>
      <c r="AZ366" s="213"/>
      <c r="BA366" s="213"/>
      <c r="BB366" s="213"/>
      <c r="BC366" s="213"/>
      <c r="BD366" s="213"/>
      <c r="BE366" s="213"/>
      <c r="BF366" s="213"/>
      <c r="BG366" s="213"/>
      <c r="BH366" s="213"/>
      <c r="BI366" s="213"/>
      <c r="BJ366" s="213"/>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row>
    <row r="367" spans="1:243" ht="15.6">
      <c r="A367" s="170">
        <f t="shared" si="67"/>
        <v>10</v>
      </c>
      <c r="B367" s="327">
        <f t="shared" si="69"/>
        <v>312.10000000000002</v>
      </c>
      <c r="C367" s="906"/>
      <c r="D367" s="603">
        <f t="shared" si="70"/>
        <v>0</v>
      </c>
      <c r="E367" s="603">
        <f t="shared" si="70"/>
        <v>0</v>
      </c>
      <c r="F367" s="603">
        <f t="shared" si="70"/>
        <v>0</v>
      </c>
      <c r="G367" s="603">
        <f t="shared" si="70"/>
        <v>0</v>
      </c>
      <c r="H367" s="603">
        <f t="shared" si="70"/>
        <v>0</v>
      </c>
      <c r="I367" s="603">
        <f t="shared" si="70"/>
        <v>0</v>
      </c>
      <c r="J367" s="603">
        <f t="shared" si="70"/>
        <v>0</v>
      </c>
      <c r="K367" s="603">
        <f t="shared" si="70"/>
        <v>0</v>
      </c>
      <c r="L367" s="603">
        <f t="shared" si="70"/>
        <v>0</v>
      </c>
      <c r="M367" s="603">
        <f t="shared" si="70"/>
        <v>0</v>
      </c>
      <c r="N367" s="603">
        <f t="shared" si="70"/>
        <v>0</v>
      </c>
      <c r="O367" s="603">
        <f t="shared" si="70"/>
        <v>0</v>
      </c>
      <c r="P367" s="333">
        <f t="shared" si="71"/>
        <v>0</v>
      </c>
      <c r="S367" s="277"/>
      <c r="T367" s="277"/>
      <c r="U367" s="277"/>
      <c r="V367" s="277"/>
      <c r="W367" s="277"/>
      <c r="X367" s="277"/>
      <c r="Y367" s="277"/>
      <c r="Z367" s="277"/>
      <c r="AA367" s="277"/>
      <c r="AB367" s="277"/>
      <c r="AC367" s="277"/>
      <c r="AD367" s="277"/>
      <c r="AE367" s="277"/>
      <c r="AF367" s="277"/>
      <c r="AG367" s="277"/>
      <c r="AH367" s="277"/>
      <c r="AI367" s="277"/>
      <c r="AJ367" s="216"/>
      <c r="AK367" s="304"/>
      <c r="AL367" s="303"/>
      <c r="AM367" s="216"/>
      <c r="AN367" s="304"/>
      <c r="AO367" s="277"/>
      <c r="AP367" s="303"/>
      <c r="AQ367" s="303"/>
      <c r="AR367" s="304"/>
      <c r="AS367" s="303"/>
      <c r="AT367" s="303"/>
      <c r="AU367" s="303"/>
      <c r="AV367" s="303"/>
      <c r="AW367" s="213"/>
      <c r="AX367" s="213"/>
      <c r="AY367" s="213"/>
      <c r="AZ367" s="213"/>
      <c r="BA367" s="213"/>
      <c r="BB367" s="213"/>
      <c r="BC367" s="213"/>
      <c r="BD367" s="213"/>
      <c r="BE367" s="213"/>
      <c r="BF367" s="213"/>
      <c r="BG367" s="213"/>
      <c r="BH367" s="213"/>
      <c r="BI367" s="213"/>
      <c r="BJ367" s="213"/>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row>
    <row r="368" spans="1:243" ht="15.6">
      <c r="A368" s="170">
        <f t="shared" si="67"/>
        <v>11</v>
      </c>
      <c r="B368" s="327">
        <f t="shared" si="69"/>
        <v>312.2</v>
      </c>
      <c r="C368" s="906"/>
      <c r="D368" s="603">
        <f t="shared" si="70"/>
        <v>0</v>
      </c>
      <c r="E368" s="603">
        <f t="shared" si="70"/>
        <v>0</v>
      </c>
      <c r="F368" s="603">
        <f t="shared" si="70"/>
        <v>0</v>
      </c>
      <c r="G368" s="603">
        <f t="shared" si="70"/>
        <v>0</v>
      </c>
      <c r="H368" s="603">
        <f t="shared" si="70"/>
        <v>0</v>
      </c>
      <c r="I368" s="603">
        <f t="shared" si="70"/>
        <v>0</v>
      </c>
      <c r="J368" s="603">
        <f t="shared" si="70"/>
        <v>0</v>
      </c>
      <c r="K368" s="603">
        <f t="shared" si="70"/>
        <v>0</v>
      </c>
      <c r="L368" s="603">
        <f t="shared" si="70"/>
        <v>0</v>
      </c>
      <c r="M368" s="603">
        <f t="shared" si="70"/>
        <v>0</v>
      </c>
      <c r="N368" s="603">
        <f t="shared" si="70"/>
        <v>0</v>
      </c>
      <c r="O368" s="603">
        <f t="shared" si="70"/>
        <v>0</v>
      </c>
      <c r="P368" s="333">
        <f t="shared" si="71"/>
        <v>0</v>
      </c>
      <c r="S368" s="277"/>
      <c r="T368" s="277"/>
      <c r="U368" s="277"/>
      <c r="V368" s="277"/>
      <c r="W368" s="277"/>
      <c r="X368" s="277"/>
      <c r="Y368" s="277"/>
      <c r="Z368" s="277"/>
      <c r="AA368" s="277"/>
      <c r="AB368" s="277"/>
      <c r="AC368" s="277"/>
      <c r="AD368" s="277"/>
      <c r="AE368" s="277"/>
      <c r="AF368" s="277"/>
      <c r="AG368" s="277"/>
      <c r="AH368" s="277"/>
      <c r="AI368" s="277"/>
      <c r="AJ368" s="216"/>
      <c r="AK368" s="304"/>
      <c r="AL368" s="303"/>
      <c r="AM368" s="216"/>
      <c r="AN368" s="304"/>
      <c r="AO368" s="277"/>
      <c r="AP368" s="303"/>
      <c r="AQ368" s="303"/>
      <c r="AR368" s="304"/>
      <c r="AS368" s="303"/>
      <c r="AT368" s="303"/>
      <c r="AU368" s="303"/>
      <c r="AV368" s="303"/>
      <c r="AW368" s="213"/>
      <c r="AX368" s="213"/>
      <c r="AY368" s="213"/>
      <c r="AZ368" s="213"/>
      <c r="BA368" s="213"/>
      <c r="BB368" s="213"/>
      <c r="BC368" s="213"/>
      <c r="BD368" s="213"/>
      <c r="BE368" s="213"/>
      <c r="BF368" s="213"/>
      <c r="BG368" s="213"/>
      <c r="BH368" s="213"/>
      <c r="BI368" s="213"/>
      <c r="BJ368" s="213"/>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row>
    <row r="369" spans="1:243" ht="15.6">
      <c r="A369" s="170">
        <f t="shared" si="67"/>
        <v>12</v>
      </c>
      <c r="B369" s="327">
        <f t="shared" si="69"/>
        <v>314</v>
      </c>
      <c r="C369" s="906"/>
      <c r="D369" s="603">
        <f t="shared" si="70"/>
        <v>0</v>
      </c>
      <c r="E369" s="603">
        <f t="shared" si="70"/>
        <v>0</v>
      </c>
      <c r="F369" s="603">
        <f t="shared" si="70"/>
        <v>0</v>
      </c>
      <c r="G369" s="603">
        <f t="shared" si="70"/>
        <v>0</v>
      </c>
      <c r="H369" s="603">
        <f t="shared" si="70"/>
        <v>0</v>
      </c>
      <c r="I369" s="603">
        <f t="shared" si="70"/>
        <v>0</v>
      </c>
      <c r="J369" s="603">
        <f t="shared" si="70"/>
        <v>0</v>
      </c>
      <c r="K369" s="603">
        <f t="shared" si="70"/>
        <v>0</v>
      </c>
      <c r="L369" s="603">
        <f t="shared" si="70"/>
        <v>0</v>
      </c>
      <c r="M369" s="603">
        <f t="shared" si="70"/>
        <v>0</v>
      </c>
      <c r="N369" s="603">
        <f t="shared" si="70"/>
        <v>0</v>
      </c>
      <c r="O369" s="603">
        <f t="shared" si="70"/>
        <v>0</v>
      </c>
      <c r="P369" s="333">
        <f t="shared" si="71"/>
        <v>0</v>
      </c>
      <c r="S369" s="277"/>
      <c r="T369" s="277"/>
      <c r="U369" s="277"/>
      <c r="V369" s="277"/>
      <c r="W369" s="277"/>
      <c r="X369" s="277"/>
      <c r="Y369" s="277"/>
      <c r="Z369" s="277"/>
      <c r="AA369" s="277"/>
      <c r="AB369" s="277"/>
      <c r="AC369" s="277"/>
      <c r="AD369" s="277"/>
      <c r="AE369" s="277"/>
      <c r="AF369" s="277"/>
      <c r="AG369" s="277"/>
      <c r="AH369" s="277"/>
      <c r="AI369" s="277"/>
      <c r="AJ369" s="216"/>
      <c r="AK369" s="304"/>
      <c r="AL369" s="303"/>
      <c r="AM369" s="216"/>
      <c r="AN369" s="304"/>
      <c r="AO369" s="277"/>
      <c r="AP369" s="303"/>
      <c r="AQ369" s="303"/>
      <c r="AR369" s="304"/>
      <c r="AS369" s="303"/>
      <c r="AT369" s="303"/>
      <c r="AU369" s="303"/>
      <c r="AV369" s="303"/>
      <c r="AW369" s="213"/>
      <c r="AX369" s="213"/>
      <c r="AY369" s="213"/>
      <c r="AZ369" s="213"/>
      <c r="BA369" s="213"/>
      <c r="BB369" s="213"/>
      <c r="BC369" s="213"/>
      <c r="BD369" s="213"/>
      <c r="BE369" s="213"/>
      <c r="BF369" s="213"/>
      <c r="BG369" s="213"/>
      <c r="BH369" s="213"/>
      <c r="BI369" s="213"/>
      <c r="BJ369" s="213"/>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row>
    <row r="370" spans="1:243" ht="15.6">
      <c r="A370" s="170">
        <f t="shared" si="67"/>
        <v>13</v>
      </c>
      <c r="B370" s="327">
        <f t="shared" si="69"/>
        <v>315</v>
      </c>
      <c r="C370" s="906"/>
      <c r="D370" s="603">
        <f t="shared" si="70"/>
        <v>0</v>
      </c>
      <c r="E370" s="603">
        <f t="shared" si="70"/>
        <v>0</v>
      </c>
      <c r="F370" s="603">
        <f t="shared" si="70"/>
        <v>0</v>
      </c>
      <c r="G370" s="603">
        <f t="shared" si="70"/>
        <v>0</v>
      </c>
      <c r="H370" s="603">
        <f t="shared" si="70"/>
        <v>0</v>
      </c>
      <c r="I370" s="603">
        <f t="shared" si="70"/>
        <v>0</v>
      </c>
      <c r="J370" s="603">
        <f t="shared" si="70"/>
        <v>0</v>
      </c>
      <c r="K370" s="603">
        <f t="shared" si="70"/>
        <v>0</v>
      </c>
      <c r="L370" s="603">
        <f t="shared" si="70"/>
        <v>0</v>
      </c>
      <c r="M370" s="603">
        <f t="shared" si="70"/>
        <v>0</v>
      </c>
      <c r="N370" s="603">
        <f t="shared" si="70"/>
        <v>0</v>
      </c>
      <c r="O370" s="603">
        <f t="shared" si="70"/>
        <v>0</v>
      </c>
      <c r="P370" s="333">
        <f t="shared" si="71"/>
        <v>0</v>
      </c>
      <c r="S370" s="277"/>
      <c r="T370" s="277"/>
      <c r="U370" s="277"/>
      <c r="V370" s="277"/>
      <c r="W370" s="277"/>
      <c r="X370" s="277"/>
      <c r="Y370" s="277"/>
      <c r="Z370" s="277"/>
      <c r="AA370" s="277"/>
      <c r="AB370" s="277"/>
      <c r="AC370" s="277"/>
      <c r="AD370" s="277"/>
      <c r="AE370" s="277"/>
      <c r="AF370" s="277"/>
      <c r="AG370" s="277"/>
      <c r="AH370" s="277"/>
      <c r="AI370" s="277"/>
      <c r="AJ370" s="216"/>
      <c r="AK370" s="304"/>
      <c r="AL370" s="303"/>
      <c r="AM370" s="216"/>
      <c r="AN370" s="304"/>
      <c r="AO370" s="277"/>
      <c r="AP370" s="303"/>
      <c r="AQ370" s="303"/>
      <c r="AR370" s="304"/>
      <c r="AS370" s="303"/>
      <c r="AT370" s="303"/>
      <c r="AU370" s="303"/>
      <c r="AV370" s="303"/>
      <c r="AW370" s="213"/>
      <c r="AX370" s="213"/>
      <c r="AY370" s="213"/>
      <c r="AZ370" s="213"/>
      <c r="BA370" s="213"/>
      <c r="BB370" s="213"/>
      <c r="BC370" s="213"/>
      <c r="BD370" s="213"/>
      <c r="BE370" s="213"/>
      <c r="BF370" s="213"/>
      <c r="BG370" s="213"/>
      <c r="BH370" s="213"/>
      <c r="BI370" s="213"/>
      <c r="BJ370" s="213"/>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row>
    <row r="371" spans="1:243" ht="15.6">
      <c r="A371" s="170">
        <f t="shared" si="67"/>
        <v>14</v>
      </c>
      <c r="B371" s="327">
        <f t="shared" si="69"/>
        <v>316</v>
      </c>
      <c r="C371" s="906"/>
      <c r="D371" s="603">
        <f t="shared" si="70"/>
        <v>0</v>
      </c>
      <c r="E371" s="603">
        <f t="shared" si="70"/>
        <v>0</v>
      </c>
      <c r="F371" s="603">
        <f t="shared" si="70"/>
        <v>0</v>
      </c>
      <c r="G371" s="603">
        <f t="shared" si="70"/>
        <v>0</v>
      </c>
      <c r="H371" s="603">
        <f t="shared" si="70"/>
        <v>0</v>
      </c>
      <c r="I371" s="603">
        <f t="shared" si="70"/>
        <v>0</v>
      </c>
      <c r="J371" s="603">
        <f t="shared" si="70"/>
        <v>0</v>
      </c>
      <c r="K371" s="603">
        <f t="shared" si="70"/>
        <v>0</v>
      </c>
      <c r="L371" s="603">
        <f t="shared" si="70"/>
        <v>0</v>
      </c>
      <c r="M371" s="603">
        <f t="shared" si="70"/>
        <v>0</v>
      </c>
      <c r="N371" s="603">
        <f t="shared" si="70"/>
        <v>0</v>
      </c>
      <c r="O371" s="603">
        <f t="shared" si="70"/>
        <v>0</v>
      </c>
      <c r="P371" s="333">
        <f t="shared" si="71"/>
        <v>0</v>
      </c>
      <c r="S371" s="277"/>
      <c r="T371" s="277"/>
      <c r="U371" s="277"/>
      <c r="V371" s="277"/>
      <c r="W371" s="277"/>
      <c r="X371" s="277"/>
      <c r="Y371" s="277"/>
      <c r="Z371" s="277"/>
      <c r="AA371" s="277"/>
      <c r="AB371" s="277"/>
      <c r="AC371" s="277"/>
      <c r="AD371" s="277"/>
      <c r="AE371" s="277"/>
      <c r="AF371" s="277"/>
      <c r="AG371" s="277"/>
      <c r="AH371" s="277"/>
      <c r="AI371" s="277"/>
      <c r="AJ371" s="216"/>
      <c r="AK371" s="304"/>
      <c r="AL371" s="303"/>
      <c r="AM371" s="216"/>
      <c r="AN371" s="304"/>
      <c r="AO371" s="277"/>
      <c r="AP371" s="303"/>
      <c r="AQ371" s="303"/>
      <c r="AR371" s="304"/>
      <c r="AS371" s="303"/>
      <c r="AT371" s="303"/>
      <c r="AU371" s="303"/>
      <c r="AV371" s="303"/>
      <c r="AW371" s="213"/>
      <c r="AX371" s="213"/>
      <c r="AY371" s="213"/>
      <c r="AZ371" s="213"/>
      <c r="BA371" s="213"/>
      <c r="BB371" s="213"/>
      <c r="BC371" s="213"/>
      <c r="BD371" s="213"/>
      <c r="BE371" s="213"/>
      <c r="BF371" s="213"/>
      <c r="BG371" s="213"/>
      <c r="BH371" s="213"/>
      <c r="BI371" s="213"/>
      <c r="BJ371" s="213"/>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row>
    <row r="372" spans="1:243" ht="15.6">
      <c r="A372" s="355"/>
      <c r="B372" s="287"/>
      <c r="C372" s="287"/>
      <c r="D372" s="287"/>
      <c r="E372" s="287"/>
      <c r="F372" s="287"/>
      <c r="G372" s="287"/>
      <c r="H372" s="287"/>
      <c r="I372" s="287"/>
      <c r="J372" s="287"/>
      <c r="K372" s="334"/>
      <c r="L372" s="287"/>
      <c r="M372" s="287"/>
      <c r="N372" s="603">
        <f>SUM(N365:N371)</f>
        <v>0</v>
      </c>
      <c r="O372" s="287"/>
      <c r="P372" s="339"/>
      <c r="S372" s="277"/>
      <c r="T372" s="277"/>
      <c r="U372" s="277"/>
      <c r="V372" s="277"/>
      <c r="W372" s="277"/>
      <c r="X372" s="277"/>
      <c r="Y372" s="277"/>
      <c r="Z372" s="277"/>
      <c r="AA372" s="277"/>
      <c r="AB372" s="277"/>
      <c r="AC372" s="277"/>
      <c r="AD372" s="277"/>
      <c r="AE372" s="277"/>
      <c r="AF372" s="277"/>
      <c r="AG372" s="277"/>
      <c r="AH372" s="277"/>
      <c r="AI372" s="277"/>
      <c r="AJ372" s="216"/>
      <c r="AK372" s="304"/>
      <c r="AL372" s="303"/>
      <c r="AM372" s="216"/>
      <c r="AN372" s="304"/>
      <c r="AO372" s="277"/>
      <c r="AP372" s="303"/>
      <c r="AQ372" s="303"/>
      <c r="AR372" s="304"/>
      <c r="AS372" s="303"/>
      <c r="AT372" s="303"/>
      <c r="AU372" s="303"/>
      <c r="AV372" s="303"/>
      <c r="AW372" s="213"/>
      <c r="AX372" s="213"/>
      <c r="AY372" s="213"/>
      <c r="AZ372" s="213"/>
      <c r="BA372" s="213"/>
      <c r="BB372" s="213"/>
      <c r="BC372" s="213"/>
      <c r="BD372" s="213"/>
      <c r="BE372" s="213"/>
      <c r="BF372" s="213"/>
      <c r="BG372" s="213"/>
      <c r="BH372" s="213"/>
      <c r="BI372" s="213"/>
      <c r="BJ372" s="213"/>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row>
    <row r="373" spans="1:243" ht="18.600000000000001">
      <c r="A373" s="355"/>
      <c r="B373" s="355" t="s">
        <v>1078</v>
      </c>
      <c r="C373" s="334" t="s">
        <v>730</v>
      </c>
      <c r="D373" s="1778" t="s">
        <v>731</v>
      </c>
      <c r="E373" s="1779"/>
      <c r="F373" s="1779"/>
      <c r="G373" s="1779"/>
      <c r="H373" s="1779"/>
      <c r="I373" s="1779"/>
      <c r="J373" s="1779"/>
      <c r="K373" s="1779"/>
      <c r="L373" s="1779"/>
      <c r="M373" s="1779"/>
      <c r="N373" s="1779"/>
      <c r="O373" s="1779"/>
      <c r="P373" s="1779"/>
      <c r="S373" s="277"/>
      <c r="T373" s="277"/>
      <c r="U373" s="277"/>
      <c r="V373" s="277"/>
      <c r="W373" s="277"/>
      <c r="X373" s="277"/>
      <c r="Y373" s="277"/>
      <c r="Z373" s="277"/>
      <c r="AA373" s="277"/>
      <c r="AB373" s="277"/>
      <c r="AC373" s="277"/>
      <c r="AD373" s="277"/>
      <c r="AE373" s="277"/>
      <c r="AF373" s="277"/>
      <c r="AG373" s="277"/>
      <c r="AH373" s="277"/>
      <c r="AI373" s="277"/>
      <c r="AJ373" s="313"/>
      <c r="AK373" s="314"/>
      <c r="AL373" s="315"/>
      <c r="AM373" s="313"/>
      <c r="AN373" s="314"/>
      <c r="AO373" s="277"/>
      <c r="AP373" s="303"/>
      <c r="AQ373" s="303"/>
      <c r="AR373" s="304"/>
      <c r="AS373" s="303"/>
      <c r="AT373" s="303"/>
      <c r="AU373" s="303"/>
      <c r="AV373" s="303"/>
      <c r="AW373" s="213"/>
      <c r="AX373" s="213"/>
      <c r="AY373" s="213"/>
      <c r="AZ373" s="213"/>
      <c r="BA373" s="213"/>
      <c r="BB373" s="213"/>
      <c r="BC373" s="213"/>
      <c r="BD373" s="213"/>
      <c r="BE373" s="213"/>
      <c r="BF373" s="213"/>
      <c r="BG373" s="213"/>
      <c r="BH373" s="213"/>
      <c r="BI373" s="213"/>
      <c r="BJ373" s="21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row>
    <row r="374" spans="1:243" ht="18.600000000000001">
      <c r="A374" s="170"/>
      <c r="B374" s="322" t="s">
        <v>928</v>
      </c>
      <c r="C374" s="335" t="s">
        <v>732</v>
      </c>
      <c r="D374" s="358" t="s">
        <v>716</v>
      </c>
      <c r="E374" s="358" t="s">
        <v>717</v>
      </c>
      <c r="F374" s="358" t="s">
        <v>718</v>
      </c>
      <c r="G374" s="358" t="s">
        <v>719</v>
      </c>
      <c r="H374" s="358" t="s">
        <v>720</v>
      </c>
      <c r="I374" s="358" t="s">
        <v>721</v>
      </c>
      <c r="J374" s="358" t="s">
        <v>722</v>
      </c>
      <c r="K374" s="358" t="s">
        <v>723</v>
      </c>
      <c r="L374" s="358" t="s">
        <v>724</v>
      </c>
      <c r="M374" s="358" t="s">
        <v>725</v>
      </c>
      <c r="N374" s="358" t="s">
        <v>726</v>
      </c>
      <c r="O374" s="358" t="s">
        <v>715</v>
      </c>
      <c r="P374" s="360" t="s">
        <v>628</v>
      </c>
      <c r="S374" s="277"/>
      <c r="T374" s="277"/>
      <c r="U374" s="277"/>
      <c r="V374" s="277"/>
      <c r="W374" s="277"/>
      <c r="X374" s="277"/>
      <c r="Y374" s="277"/>
      <c r="Z374" s="277"/>
      <c r="AA374" s="277"/>
      <c r="AB374" s="277"/>
      <c r="AC374" s="277"/>
      <c r="AD374" s="277"/>
      <c r="AE374" s="277"/>
      <c r="AF374" s="277"/>
      <c r="AG374" s="277"/>
      <c r="AH374" s="277"/>
      <c r="AI374" s="277"/>
      <c r="AJ374" s="216"/>
      <c r="AK374" s="304"/>
      <c r="AL374" s="303"/>
      <c r="AM374" s="216"/>
      <c r="AN374" s="304"/>
      <c r="AO374" s="277"/>
      <c r="AP374" s="303"/>
      <c r="AQ374" s="303"/>
      <c r="AR374" s="304"/>
      <c r="AS374" s="303"/>
      <c r="AT374" s="303"/>
      <c r="AU374" s="303"/>
      <c r="AV374" s="303"/>
      <c r="AW374" s="213"/>
      <c r="AX374" s="213"/>
      <c r="AY374" s="213"/>
      <c r="AZ374" s="213"/>
      <c r="BA374" s="213"/>
      <c r="BB374" s="213"/>
      <c r="BC374" s="213"/>
      <c r="BD374" s="213"/>
      <c r="BE374" s="213"/>
      <c r="BF374" s="213"/>
      <c r="BG374" s="213"/>
      <c r="BH374" s="213"/>
      <c r="BI374" s="213"/>
      <c r="BJ374" s="213"/>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row>
    <row r="375" spans="1:243" ht="15.6">
      <c r="A375" s="170">
        <f>A371+1</f>
        <v>15</v>
      </c>
      <c r="B375" s="327">
        <f>B355</f>
        <v>311</v>
      </c>
      <c r="C375" s="907">
        <v>0</v>
      </c>
      <c r="D375" s="603">
        <f>C375+D365</f>
        <v>0</v>
      </c>
      <c r="E375" s="603">
        <f t="shared" ref="E375:O375" si="72">D375+E365</f>
        <v>0</v>
      </c>
      <c r="F375" s="603">
        <f t="shared" si="72"/>
        <v>0</v>
      </c>
      <c r="G375" s="603">
        <f t="shared" si="72"/>
        <v>0</v>
      </c>
      <c r="H375" s="603">
        <f t="shared" si="72"/>
        <v>0</v>
      </c>
      <c r="I375" s="603">
        <f t="shared" si="72"/>
        <v>0</v>
      </c>
      <c r="J375" s="603">
        <f t="shared" si="72"/>
        <v>0</v>
      </c>
      <c r="K375" s="603">
        <f t="shared" si="72"/>
        <v>0</v>
      </c>
      <c r="L375" s="603">
        <f t="shared" si="72"/>
        <v>0</v>
      </c>
      <c r="M375" s="603">
        <f t="shared" si="72"/>
        <v>0</v>
      </c>
      <c r="N375" s="603">
        <f t="shared" si="72"/>
        <v>0</v>
      </c>
      <c r="O375" s="603">
        <f t="shared" si="72"/>
        <v>0</v>
      </c>
      <c r="P375" s="333">
        <f>O375</f>
        <v>0</v>
      </c>
      <c r="S375" s="277"/>
      <c r="T375" s="277"/>
      <c r="U375" s="277"/>
      <c r="V375" s="277"/>
      <c r="W375" s="277"/>
      <c r="X375" s="277"/>
      <c r="Y375" s="277"/>
      <c r="Z375" s="277"/>
      <c r="AA375" s="277"/>
      <c r="AB375" s="277"/>
      <c r="AC375" s="277"/>
      <c r="AD375" s="277"/>
      <c r="AE375" s="277"/>
      <c r="AF375" s="277"/>
      <c r="AG375" s="277"/>
      <c r="AH375" s="277"/>
      <c r="AI375" s="277"/>
      <c r="AJ375" s="216"/>
      <c r="AK375" s="304"/>
      <c r="AL375" s="303"/>
      <c r="AM375" s="313"/>
      <c r="AN375" s="314"/>
      <c r="AO375" s="277"/>
      <c r="AP375" s="303"/>
      <c r="AQ375" s="303"/>
      <c r="AR375" s="304"/>
      <c r="AS375" s="303"/>
      <c r="AT375" s="303"/>
      <c r="AU375" s="303"/>
      <c r="AV375" s="303"/>
      <c r="AW375" s="213"/>
      <c r="AX375" s="213"/>
      <c r="AY375" s="213"/>
      <c r="AZ375" s="213"/>
      <c r="BA375" s="213"/>
      <c r="BB375" s="213"/>
      <c r="BC375" s="213"/>
      <c r="BD375" s="213"/>
      <c r="BE375" s="213"/>
      <c r="BF375" s="213"/>
      <c r="BG375" s="213"/>
      <c r="BH375" s="213"/>
      <c r="BI375" s="213"/>
      <c r="BJ375" s="213"/>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row>
    <row r="376" spans="1:243" ht="15.6">
      <c r="A376" s="170">
        <f t="shared" ref="A376:A381" si="73">A375+1</f>
        <v>16</v>
      </c>
      <c r="B376" s="327">
        <f t="shared" ref="B376:B381" si="74">B356</f>
        <v>312</v>
      </c>
      <c r="C376" s="907">
        <v>0</v>
      </c>
      <c r="D376" s="603">
        <f t="shared" ref="D376:O381" si="75">C376+D366</f>
        <v>0</v>
      </c>
      <c r="E376" s="603">
        <f t="shared" si="75"/>
        <v>0</v>
      </c>
      <c r="F376" s="603">
        <f t="shared" si="75"/>
        <v>0</v>
      </c>
      <c r="G376" s="603">
        <f t="shared" si="75"/>
        <v>0</v>
      </c>
      <c r="H376" s="603">
        <f t="shared" si="75"/>
        <v>0</v>
      </c>
      <c r="I376" s="603">
        <f t="shared" si="75"/>
        <v>0</v>
      </c>
      <c r="J376" s="603">
        <f t="shared" si="75"/>
        <v>0</v>
      </c>
      <c r="K376" s="603">
        <f t="shared" si="75"/>
        <v>0</v>
      </c>
      <c r="L376" s="603">
        <f t="shared" si="75"/>
        <v>0</v>
      </c>
      <c r="M376" s="603">
        <f t="shared" si="75"/>
        <v>0</v>
      </c>
      <c r="N376" s="603">
        <f t="shared" si="75"/>
        <v>0</v>
      </c>
      <c r="O376" s="603">
        <f t="shared" si="75"/>
        <v>0</v>
      </c>
      <c r="P376" s="333">
        <f t="shared" ref="P376:P381" si="76">O376</f>
        <v>0</v>
      </c>
      <c r="S376" s="277"/>
      <c r="T376" s="277"/>
      <c r="U376" s="277"/>
      <c r="V376" s="277"/>
      <c r="W376" s="277"/>
      <c r="X376" s="277"/>
      <c r="Y376" s="277"/>
      <c r="Z376" s="277"/>
      <c r="AA376" s="277"/>
      <c r="AB376" s="277"/>
      <c r="AC376" s="277"/>
      <c r="AD376" s="277"/>
      <c r="AE376" s="277"/>
      <c r="AF376" s="277"/>
      <c r="AG376" s="277"/>
      <c r="AH376" s="277"/>
      <c r="AI376" s="277"/>
      <c r="AJ376" s="216"/>
      <c r="AK376" s="304"/>
      <c r="AL376" s="303"/>
      <c r="AM376" s="216"/>
      <c r="AN376" s="304"/>
      <c r="AO376" s="277"/>
      <c r="AP376" s="303"/>
      <c r="AQ376" s="303"/>
      <c r="AR376" s="304"/>
      <c r="AS376" s="303"/>
      <c r="AT376" s="303"/>
      <c r="AU376" s="303"/>
      <c r="AV376" s="303"/>
      <c r="AW376" s="213"/>
      <c r="AX376" s="213"/>
      <c r="AY376" s="213"/>
      <c r="AZ376" s="213"/>
      <c r="BA376" s="213"/>
      <c r="BB376" s="213"/>
      <c r="BC376" s="213"/>
      <c r="BD376" s="213"/>
      <c r="BE376" s="213"/>
      <c r="BF376" s="213"/>
      <c r="BG376" s="213"/>
      <c r="BH376" s="213"/>
      <c r="BI376" s="213"/>
      <c r="BJ376" s="213"/>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row>
    <row r="377" spans="1:243" ht="15.6">
      <c r="A377" s="170">
        <f t="shared" si="73"/>
        <v>17</v>
      </c>
      <c r="B377" s="327">
        <f t="shared" si="74"/>
        <v>312.10000000000002</v>
      </c>
      <c r="C377" s="907">
        <v>0</v>
      </c>
      <c r="D377" s="603">
        <f t="shared" si="75"/>
        <v>0</v>
      </c>
      <c r="E377" s="603">
        <f t="shared" si="75"/>
        <v>0</v>
      </c>
      <c r="F377" s="603">
        <f t="shared" si="75"/>
        <v>0</v>
      </c>
      <c r="G377" s="603">
        <f t="shared" si="75"/>
        <v>0</v>
      </c>
      <c r="H377" s="603">
        <f t="shared" si="75"/>
        <v>0</v>
      </c>
      <c r="I377" s="603">
        <f t="shared" si="75"/>
        <v>0</v>
      </c>
      <c r="J377" s="603">
        <f t="shared" si="75"/>
        <v>0</v>
      </c>
      <c r="K377" s="603">
        <f t="shared" si="75"/>
        <v>0</v>
      </c>
      <c r="L377" s="603">
        <f t="shared" si="75"/>
        <v>0</v>
      </c>
      <c r="M377" s="603">
        <f t="shared" si="75"/>
        <v>0</v>
      </c>
      <c r="N377" s="603">
        <f t="shared" si="75"/>
        <v>0</v>
      </c>
      <c r="O377" s="603">
        <f t="shared" si="75"/>
        <v>0</v>
      </c>
      <c r="P377" s="333">
        <f t="shared" si="76"/>
        <v>0</v>
      </c>
      <c r="S377" s="277"/>
      <c r="T377" s="277"/>
      <c r="U377" s="277"/>
      <c r="V377" s="277"/>
      <c r="W377" s="277"/>
      <c r="X377" s="277"/>
      <c r="Y377" s="277"/>
      <c r="Z377" s="277"/>
      <c r="AA377" s="277"/>
      <c r="AB377" s="277"/>
      <c r="AC377" s="277"/>
      <c r="AD377" s="277"/>
      <c r="AE377" s="277"/>
      <c r="AF377" s="277"/>
      <c r="AG377" s="277"/>
      <c r="AH377" s="277"/>
      <c r="AI377" s="277"/>
      <c r="AJ377" s="216"/>
      <c r="AK377" s="304"/>
      <c r="AL377" s="303"/>
      <c r="AM377" s="216"/>
      <c r="AN377" s="304"/>
      <c r="AO377" s="277"/>
      <c r="AP377" s="303"/>
      <c r="AQ377" s="303"/>
      <c r="AR377" s="304"/>
      <c r="AS377" s="303"/>
      <c r="AT377" s="303"/>
      <c r="AU377" s="303"/>
      <c r="AV377" s="303"/>
      <c r="AW377" s="213"/>
      <c r="AX377" s="213"/>
      <c r="AY377" s="213"/>
      <c r="AZ377" s="213"/>
      <c r="BA377" s="213"/>
      <c r="BB377" s="213"/>
      <c r="BC377" s="213"/>
      <c r="BD377" s="213"/>
      <c r="BE377" s="213"/>
      <c r="BF377" s="213"/>
      <c r="BG377" s="213"/>
      <c r="BH377" s="213"/>
      <c r="BI377" s="213"/>
      <c r="BJ377" s="213"/>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row>
    <row r="378" spans="1:243" ht="15.6">
      <c r="A378" s="170">
        <f t="shared" si="73"/>
        <v>18</v>
      </c>
      <c r="B378" s="327">
        <f t="shared" si="74"/>
        <v>312.2</v>
      </c>
      <c r="C378" s="907">
        <v>0</v>
      </c>
      <c r="D378" s="603">
        <f t="shared" si="75"/>
        <v>0</v>
      </c>
      <c r="E378" s="603">
        <f t="shared" si="75"/>
        <v>0</v>
      </c>
      <c r="F378" s="603">
        <f t="shared" si="75"/>
        <v>0</v>
      </c>
      <c r="G378" s="603">
        <f t="shared" si="75"/>
        <v>0</v>
      </c>
      <c r="H378" s="603">
        <f t="shared" si="75"/>
        <v>0</v>
      </c>
      <c r="I378" s="603">
        <f t="shared" si="75"/>
        <v>0</v>
      </c>
      <c r="J378" s="603">
        <f t="shared" si="75"/>
        <v>0</v>
      </c>
      <c r="K378" s="603">
        <f t="shared" si="75"/>
        <v>0</v>
      </c>
      <c r="L378" s="603">
        <f t="shared" si="75"/>
        <v>0</v>
      </c>
      <c r="M378" s="603">
        <f t="shared" si="75"/>
        <v>0</v>
      </c>
      <c r="N378" s="603">
        <f t="shared" si="75"/>
        <v>0</v>
      </c>
      <c r="O378" s="603">
        <f t="shared" si="75"/>
        <v>0</v>
      </c>
      <c r="P378" s="333">
        <f t="shared" si="76"/>
        <v>0</v>
      </c>
      <c r="S378" s="277"/>
      <c r="T378" s="277"/>
      <c r="U378" s="277"/>
      <c r="V378" s="277"/>
      <c r="W378" s="277"/>
      <c r="X378" s="277"/>
      <c r="Y378" s="277"/>
      <c r="Z378" s="277"/>
      <c r="AA378" s="277"/>
      <c r="AB378" s="277"/>
      <c r="AC378" s="277"/>
      <c r="AD378" s="277"/>
      <c r="AE378" s="277"/>
      <c r="AF378" s="277"/>
      <c r="AG378" s="277"/>
      <c r="AH378" s="277"/>
      <c r="AI378" s="277"/>
      <c r="AJ378" s="216"/>
      <c r="AK378" s="304"/>
      <c r="AL378" s="303"/>
      <c r="AM378" s="216"/>
      <c r="AN378" s="304"/>
      <c r="AO378" s="277"/>
      <c r="AP378" s="303"/>
      <c r="AQ378" s="303"/>
      <c r="AR378" s="304"/>
      <c r="AS378" s="303"/>
      <c r="AT378" s="303"/>
      <c r="AU378" s="303"/>
      <c r="AV378" s="303"/>
      <c r="AW378" s="213"/>
      <c r="AX378" s="213"/>
      <c r="AY378" s="213"/>
      <c r="AZ378" s="213"/>
      <c r="BA378" s="213"/>
      <c r="BB378" s="213"/>
      <c r="BC378" s="213"/>
      <c r="BD378" s="213"/>
      <c r="BE378" s="213"/>
      <c r="BF378" s="213"/>
      <c r="BG378" s="213"/>
      <c r="BH378" s="213"/>
      <c r="BI378" s="213"/>
      <c r="BJ378" s="213"/>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row>
    <row r="379" spans="1:243" ht="15.6">
      <c r="A379" s="170">
        <f t="shared" si="73"/>
        <v>19</v>
      </c>
      <c r="B379" s="327">
        <f t="shared" si="74"/>
        <v>314</v>
      </c>
      <c r="C379" s="907">
        <v>0</v>
      </c>
      <c r="D379" s="603">
        <f t="shared" si="75"/>
        <v>0</v>
      </c>
      <c r="E379" s="603">
        <f t="shared" si="75"/>
        <v>0</v>
      </c>
      <c r="F379" s="603">
        <f t="shared" si="75"/>
        <v>0</v>
      </c>
      <c r="G379" s="603">
        <f t="shared" si="75"/>
        <v>0</v>
      </c>
      <c r="H379" s="603">
        <f t="shared" si="75"/>
        <v>0</v>
      </c>
      <c r="I379" s="603">
        <f t="shared" si="75"/>
        <v>0</v>
      </c>
      <c r="J379" s="603">
        <f t="shared" si="75"/>
        <v>0</v>
      </c>
      <c r="K379" s="603">
        <f t="shared" si="75"/>
        <v>0</v>
      </c>
      <c r="L379" s="603">
        <f t="shared" si="75"/>
        <v>0</v>
      </c>
      <c r="M379" s="603">
        <f t="shared" si="75"/>
        <v>0</v>
      </c>
      <c r="N379" s="603">
        <f t="shared" si="75"/>
        <v>0</v>
      </c>
      <c r="O379" s="603">
        <f t="shared" si="75"/>
        <v>0</v>
      </c>
      <c r="P379" s="333">
        <f t="shared" si="76"/>
        <v>0</v>
      </c>
      <c r="S379" s="277"/>
      <c r="T379" s="277"/>
      <c r="U379" s="277"/>
      <c r="V379" s="277"/>
      <c r="W379" s="277"/>
      <c r="X379" s="277"/>
      <c r="Y379" s="277"/>
      <c r="Z379" s="277"/>
      <c r="AA379" s="277"/>
      <c r="AB379" s="277"/>
      <c r="AC379" s="277"/>
      <c r="AD379" s="277"/>
      <c r="AE379" s="277"/>
      <c r="AF379" s="277"/>
      <c r="AG379" s="277"/>
      <c r="AH379" s="277"/>
      <c r="AI379" s="277"/>
      <c r="AJ379" s="216"/>
      <c r="AK379" s="304"/>
      <c r="AL379" s="303"/>
      <c r="AM379" s="216"/>
      <c r="AN379" s="304"/>
      <c r="AO379" s="277"/>
      <c r="AP379" s="303"/>
      <c r="AQ379" s="303"/>
      <c r="AR379" s="304"/>
      <c r="AS379" s="303"/>
      <c r="AT379" s="303"/>
      <c r="AU379" s="303"/>
      <c r="AV379" s="303"/>
      <c r="AW379" s="213"/>
      <c r="AX379" s="213"/>
      <c r="AY379" s="213"/>
      <c r="AZ379" s="213"/>
      <c r="BA379" s="213"/>
      <c r="BB379" s="213"/>
      <c r="BC379" s="213"/>
      <c r="BD379" s="213"/>
      <c r="BE379" s="213"/>
      <c r="BF379" s="213"/>
      <c r="BG379" s="213"/>
      <c r="BH379" s="213"/>
      <c r="BI379" s="213"/>
      <c r="BJ379" s="213"/>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row>
    <row r="380" spans="1:243" ht="15.6">
      <c r="A380" s="170">
        <f t="shared" si="73"/>
        <v>20</v>
      </c>
      <c r="B380" s="327">
        <f t="shared" si="74"/>
        <v>315</v>
      </c>
      <c r="C380" s="907">
        <v>0</v>
      </c>
      <c r="D380" s="603">
        <f t="shared" si="75"/>
        <v>0</v>
      </c>
      <c r="E380" s="603">
        <f t="shared" si="75"/>
        <v>0</v>
      </c>
      <c r="F380" s="603">
        <f t="shared" si="75"/>
        <v>0</v>
      </c>
      <c r="G380" s="603">
        <f t="shared" si="75"/>
        <v>0</v>
      </c>
      <c r="H380" s="603">
        <f t="shared" si="75"/>
        <v>0</v>
      </c>
      <c r="I380" s="603">
        <f t="shared" si="75"/>
        <v>0</v>
      </c>
      <c r="J380" s="603">
        <f t="shared" si="75"/>
        <v>0</v>
      </c>
      <c r="K380" s="603">
        <f t="shared" si="75"/>
        <v>0</v>
      </c>
      <c r="L380" s="603">
        <f t="shared" si="75"/>
        <v>0</v>
      </c>
      <c r="M380" s="603">
        <f t="shared" si="75"/>
        <v>0</v>
      </c>
      <c r="N380" s="603">
        <f t="shared" si="75"/>
        <v>0</v>
      </c>
      <c r="O380" s="603">
        <f t="shared" si="75"/>
        <v>0</v>
      </c>
      <c r="P380" s="333">
        <f t="shared" si="76"/>
        <v>0</v>
      </c>
      <c r="S380" s="277"/>
      <c r="T380" s="277"/>
      <c r="U380" s="277"/>
      <c r="V380" s="277"/>
      <c r="W380" s="277"/>
      <c r="X380" s="277"/>
      <c r="Y380" s="277"/>
      <c r="Z380" s="277"/>
      <c r="AA380" s="277"/>
      <c r="AB380" s="277"/>
      <c r="AC380" s="277"/>
      <c r="AD380" s="277"/>
      <c r="AE380" s="277"/>
      <c r="AF380" s="277"/>
      <c r="AG380" s="277"/>
      <c r="AH380" s="277"/>
      <c r="AI380" s="277"/>
      <c r="AJ380" s="216"/>
      <c r="AK380" s="304"/>
      <c r="AL380" s="303"/>
      <c r="AM380" s="216"/>
      <c r="AN380" s="304"/>
      <c r="AO380" s="277"/>
      <c r="AP380" s="303"/>
      <c r="AQ380" s="303"/>
      <c r="AR380" s="304"/>
      <c r="AS380" s="303"/>
      <c r="AT380" s="303"/>
      <c r="AU380" s="303"/>
      <c r="AV380" s="303"/>
      <c r="AW380" s="213"/>
      <c r="AX380" s="213"/>
      <c r="AY380" s="213"/>
      <c r="AZ380" s="213"/>
      <c r="BA380" s="213"/>
      <c r="BB380" s="213"/>
      <c r="BC380" s="213"/>
      <c r="BD380" s="213"/>
      <c r="BE380" s="213"/>
      <c r="BF380" s="213"/>
      <c r="BG380" s="213"/>
      <c r="BH380" s="213"/>
      <c r="BI380" s="213"/>
      <c r="BJ380" s="213"/>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row>
    <row r="381" spans="1:243" ht="15.6">
      <c r="A381" s="170">
        <f t="shared" si="73"/>
        <v>21</v>
      </c>
      <c r="B381" s="327">
        <f t="shared" si="74"/>
        <v>316</v>
      </c>
      <c r="C381" s="907">
        <v>0</v>
      </c>
      <c r="D381" s="603">
        <f t="shared" si="75"/>
        <v>0</v>
      </c>
      <c r="E381" s="603">
        <f t="shared" si="75"/>
        <v>0</v>
      </c>
      <c r="F381" s="603">
        <f t="shared" si="75"/>
        <v>0</v>
      </c>
      <c r="G381" s="603">
        <f t="shared" si="75"/>
        <v>0</v>
      </c>
      <c r="H381" s="603">
        <f t="shared" si="75"/>
        <v>0</v>
      </c>
      <c r="I381" s="603">
        <f t="shared" si="75"/>
        <v>0</v>
      </c>
      <c r="J381" s="603">
        <f t="shared" si="75"/>
        <v>0</v>
      </c>
      <c r="K381" s="603">
        <f t="shared" si="75"/>
        <v>0</v>
      </c>
      <c r="L381" s="603">
        <f t="shared" si="75"/>
        <v>0</v>
      </c>
      <c r="M381" s="603">
        <f t="shared" si="75"/>
        <v>0</v>
      </c>
      <c r="N381" s="603">
        <f t="shared" si="75"/>
        <v>0</v>
      </c>
      <c r="O381" s="603">
        <f t="shared" si="75"/>
        <v>0</v>
      </c>
      <c r="P381" s="333">
        <f t="shared" si="76"/>
        <v>0</v>
      </c>
      <c r="S381" s="277"/>
      <c r="T381" s="277"/>
      <c r="U381" s="277"/>
      <c r="V381" s="277"/>
      <c r="W381" s="277"/>
      <c r="X381" s="277"/>
      <c r="Y381" s="277"/>
      <c r="Z381" s="277"/>
      <c r="AA381" s="277"/>
      <c r="AB381" s="277"/>
      <c r="AC381" s="277"/>
      <c r="AD381" s="277"/>
      <c r="AE381" s="277"/>
      <c r="AF381" s="277"/>
      <c r="AG381" s="277"/>
      <c r="AH381" s="277"/>
      <c r="AI381" s="277"/>
      <c r="AJ381" s="216"/>
      <c r="AK381" s="304"/>
      <c r="AL381" s="303"/>
      <c r="AM381" s="216"/>
      <c r="AN381" s="304"/>
      <c r="AO381" s="277"/>
      <c r="AP381" s="303"/>
      <c r="AQ381" s="303"/>
      <c r="AR381" s="304"/>
      <c r="AS381" s="303"/>
      <c r="AT381" s="303"/>
      <c r="AU381" s="303"/>
      <c r="AV381" s="303"/>
      <c r="AW381" s="213"/>
      <c r="AX381" s="213"/>
      <c r="AY381" s="213"/>
      <c r="AZ381" s="213"/>
      <c r="BA381" s="213"/>
      <c r="BB381" s="213"/>
      <c r="BC381" s="213"/>
      <c r="BD381" s="213"/>
      <c r="BE381" s="213"/>
      <c r="BF381" s="213"/>
      <c r="BG381" s="213"/>
      <c r="BH381" s="213"/>
      <c r="BI381" s="213"/>
      <c r="BJ381" s="213"/>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row>
    <row r="382" spans="1:243" ht="15.6">
      <c r="A382" s="355"/>
      <c r="B382" s="327"/>
      <c r="C382" s="328"/>
      <c r="D382" s="328"/>
      <c r="E382" s="328"/>
      <c r="F382" s="328"/>
      <c r="G382" s="328"/>
      <c r="H382" s="328"/>
      <c r="I382" s="328"/>
      <c r="J382" s="328"/>
      <c r="K382" s="328"/>
      <c r="L382" s="328"/>
      <c r="M382" s="328"/>
      <c r="N382" s="328"/>
      <c r="O382" s="328"/>
      <c r="P382" s="333"/>
      <c r="S382" s="277"/>
      <c r="T382" s="277"/>
      <c r="U382" s="277"/>
      <c r="V382" s="277"/>
      <c r="W382" s="277"/>
      <c r="X382" s="277"/>
      <c r="Y382" s="277"/>
      <c r="Z382" s="277"/>
      <c r="AA382" s="277"/>
      <c r="AB382" s="277"/>
      <c r="AC382" s="277"/>
      <c r="AD382" s="277"/>
      <c r="AE382" s="277"/>
      <c r="AF382" s="277"/>
      <c r="AG382" s="277"/>
      <c r="AH382" s="277"/>
      <c r="AI382" s="277"/>
      <c r="AJ382" s="216"/>
      <c r="AK382" s="304"/>
      <c r="AL382" s="303"/>
      <c r="AM382" s="216"/>
      <c r="AN382" s="304"/>
      <c r="AO382" s="277"/>
      <c r="AP382" s="303"/>
      <c r="AQ382" s="303"/>
      <c r="AR382" s="304"/>
      <c r="AS382" s="303"/>
      <c r="AT382" s="303"/>
      <c r="AU382" s="303"/>
      <c r="AV382" s="303"/>
      <c r="AW382" s="213"/>
      <c r="AX382" s="213"/>
      <c r="AY382" s="213"/>
      <c r="AZ382" s="213"/>
      <c r="BA382" s="213"/>
      <c r="BB382" s="213"/>
      <c r="BC382" s="213"/>
      <c r="BD382" s="213"/>
      <c r="BE382" s="213"/>
      <c r="BF382" s="213"/>
      <c r="BG382" s="213"/>
      <c r="BH382" s="213"/>
      <c r="BI382" s="213"/>
      <c r="BJ382" s="213"/>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row>
    <row r="383" spans="1:243" ht="15.6">
      <c r="A383" s="355"/>
      <c r="B383" s="327"/>
      <c r="C383" s="328"/>
      <c r="D383" s="328"/>
      <c r="E383" s="328"/>
      <c r="F383" s="328"/>
      <c r="G383" s="328"/>
      <c r="H383" s="328"/>
      <c r="I383" s="328"/>
      <c r="J383" s="328"/>
      <c r="K383" s="328"/>
      <c r="L383" s="328"/>
      <c r="M383" s="328"/>
      <c r="N383" s="328"/>
      <c r="O383" s="328"/>
      <c r="P383" s="333"/>
      <c r="S383" s="277"/>
      <c r="T383" s="277"/>
      <c r="U383" s="277"/>
      <c r="V383" s="277"/>
      <c r="W383" s="277"/>
      <c r="X383" s="277"/>
      <c r="Y383" s="277"/>
      <c r="Z383" s="277"/>
      <c r="AA383" s="277"/>
      <c r="AB383" s="277"/>
      <c r="AC383" s="277"/>
      <c r="AD383" s="277"/>
      <c r="AE383" s="277"/>
      <c r="AF383" s="277"/>
      <c r="AG383" s="277"/>
      <c r="AH383" s="277"/>
      <c r="AI383" s="277"/>
      <c r="AJ383" s="216"/>
      <c r="AK383" s="304"/>
      <c r="AL383" s="303"/>
      <c r="AM383" s="216"/>
      <c r="AN383" s="304"/>
      <c r="AO383" s="277"/>
      <c r="AP383" s="303"/>
      <c r="AQ383" s="303"/>
      <c r="AR383" s="304"/>
      <c r="AS383" s="303"/>
      <c r="AT383" s="303"/>
      <c r="AU383" s="303"/>
      <c r="AV383" s="303"/>
      <c r="AW383" s="213"/>
      <c r="AX383" s="213"/>
      <c r="AY383" s="213"/>
      <c r="AZ383" s="213"/>
      <c r="BA383" s="213"/>
      <c r="BB383" s="213"/>
      <c r="BC383" s="213"/>
      <c r="BD383" s="213"/>
      <c r="BE383" s="213"/>
      <c r="BF383" s="213"/>
      <c r="BG383" s="213"/>
      <c r="BH383" s="213"/>
      <c r="BI383" s="213"/>
      <c r="BJ383" s="21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row>
    <row r="384" spans="1:243" s="42" customFormat="1" ht="15.6">
      <c r="A384" s="336" t="s">
        <v>713</v>
      </c>
      <c r="B384" s="336"/>
      <c r="C384" s="341" t="s">
        <v>476</v>
      </c>
      <c r="D384" s="287"/>
      <c r="E384" s="287"/>
      <c r="F384" s="287"/>
      <c r="G384" s="287"/>
      <c r="H384" s="287"/>
      <c r="I384" s="287"/>
      <c r="J384" s="287"/>
      <c r="K384" s="334"/>
      <c r="L384" s="287"/>
      <c r="M384" s="287"/>
      <c r="N384" s="287"/>
      <c r="O384" s="287"/>
      <c r="P384" s="339"/>
      <c r="Q384" s="342"/>
      <c r="R384" s="342"/>
      <c r="S384" s="343"/>
      <c r="T384" s="343"/>
      <c r="U384" s="343"/>
      <c r="V384" s="343"/>
      <c r="W384" s="343"/>
      <c r="X384" s="343"/>
      <c r="Y384" s="343"/>
      <c r="Z384" s="343"/>
      <c r="AA384" s="343"/>
      <c r="AB384" s="343"/>
      <c r="AC384" s="343"/>
      <c r="AD384" s="343"/>
      <c r="AE384" s="343"/>
      <c r="AF384" s="343"/>
      <c r="AG384" s="343"/>
      <c r="AH384" s="343"/>
      <c r="AI384" s="343"/>
      <c r="AJ384" s="344"/>
      <c r="AK384" s="345"/>
      <c r="AL384" s="346"/>
      <c r="AM384" s="344"/>
      <c r="AN384" s="345"/>
      <c r="AO384" s="343"/>
      <c r="AP384" s="346"/>
      <c r="AQ384" s="346"/>
      <c r="AR384" s="345"/>
      <c r="AS384" s="346"/>
      <c r="AT384" s="346"/>
      <c r="AU384" s="346"/>
      <c r="AV384" s="346"/>
      <c r="AW384" s="287"/>
      <c r="AX384" s="287"/>
      <c r="AY384" s="287"/>
      <c r="AZ384" s="287"/>
      <c r="BA384" s="287"/>
      <c r="BB384" s="287"/>
      <c r="BC384" s="287"/>
      <c r="BD384" s="287"/>
      <c r="BE384" s="287"/>
      <c r="BF384" s="287"/>
      <c r="BG384" s="287"/>
      <c r="BH384" s="287"/>
      <c r="BI384" s="287"/>
      <c r="BJ384" s="287"/>
    </row>
    <row r="385" spans="1:243" ht="18.600000000000001">
      <c r="A385" s="355" t="s">
        <v>494</v>
      </c>
      <c r="B385" s="355" t="s">
        <v>1078</v>
      </c>
      <c r="C385" s="334"/>
      <c r="D385" s="1778" t="s">
        <v>714</v>
      </c>
      <c r="E385" s="1779"/>
      <c r="F385" s="1779"/>
      <c r="G385" s="1779"/>
      <c r="H385" s="1779"/>
      <c r="I385" s="1779"/>
      <c r="J385" s="1779"/>
      <c r="K385" s="1779"/>
      <c r="L385" s="1779"/>
      <c r="M385" s="1779"/>
      <c r="N385" s="1779"/>
      <c r="O385" s="1779"/>
      <c r="P385" s="357"/>
      <c r="S385" s="277"/>
      <c r="T385" s="277"/>
      <c r="U385" s="277"/>
      <c r="V385" s="277"/>
      <c r="W385" s="277"/>
      <c r="X385" s="277"/>
      <c r="Y385" s="277"/>
      <c r="Z385" s="277"/>
      <c r="AA385" s="277"/>
      <c r="AB385" s="277"/>
      <c r="AC385" s="277"/>
      <c r="AD385" s="277"/>
      <c r="AE385" s="277"/>
      <c r="AF385" s="277"/>
      <c r="AG385" s="277"/>
      <c r="AH385" s="277"/>
      <c r="AI385" s="277"/>
      <c r="AJ385" s="216"/>
      <c r="AK385" s="304"/>
      <c r="AL385" s="303"/>
      <c r="AM385" s="216"/>
      <c r="AN385" s="304"/>
      <c r="AO385" s="277"/>
      <c r="AP385" s="303"/>
      <c r="AQ385" s="303"/>
      <c r="AR385" s="304"/>
      <c r="AS385" s="303"/>
      <c r="AT385" s="303"/>
      <c r="AU385" s="303"/>
      <c r="AV385" s="303"/>
      <c r="AW385" s="213"/>
      <c r="AX385" s="213"/>
      <c r="AY385" s="213"/>
      <c r="AZ385" s="213"/>
      <c r="BA385" s="213"/>
      <c r="BB385" s="213"/>
      <c r="BC385" s="213"/>
      <c r="BD385" s="213"/>
      <c r="BE385" s="213"/>
      <c r="BF385" s="213"/>
      <c r="BG385" s="213"/>
      <c r="BH385" s="213"/>
      <c r="BI385" s="213"/>
      <c r="BJ385" s="213"/>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row>
    <row r="386" spans="1:243" ht="15.6">
      <c r="A386" s="322" t="s">
        <v>928</v>
      </c>
      <c r="B386" s="322" t="s">
        <v>928</v>
      </c>
      <c r="C386" s="335"/>
      <c r="D386" s="358" t="s">
        <v>715</v>
      </c>
      <c r="E386" s="358" t="s">
        <v>716</v>
      </c>
      <c r="F386" s="358" t="s">
        <v>717</v>
      </c>
      <c r="G386" s="358" t="s">
        <v>718</v>
      </c>
      <c r="H386" s="358" t="s">
        <v>719</v>
      </c>
      <c r="I386" s="358" t="s">
        <v>720</v>
      </c>
      <c r="J386" s="358" t="s">
        <v>721</v>
      </c>
      <c r="K386" s="358" t="s">
        <v>722</v>
      </c>
      <c r="L386" s="358" t="s">
        <v>723</v>
      </c>
      <c r="M386" s="358" t="s">
        <v>724</v>
      </c>
      <c r="N386" s="358" t="s">
        <v>725</v>
      </c>
      <c r="O386" s="358" t="s">
        <v>726</v>
      </c>
      <c r="P386" s="359"/>
      <c r="S386" s="277"/>
      <c r="T386" s="277"/>
      <c r="U386" s="277"/>
      <c r="V386" s="277"/>
      <c r="W386" s="277"/>
      <c r="X386" s="277"/>
      <c r="Y386" s="277"/>
      <c r="Z386" s="277"/>
      <c r="AA386" s="277"/>
      <c r="AB386" s="277"/>
      <c r="AC386" s="277"/>
      <c r="AD386" s="277"/>
      <c r="AE386" s="277"/>
      <c r="AF386" s="277"/>
      <c r="AG386" s="277"/>
      <c r="AH386" s="277"/>
      <c r="AI386" s="277"/>
      <c r="AJ386" s="216"/>
      <c r="AK386" s="304"/>
      <c r="AL386" s="303"/>
      <c r="AM386" s="216"/>
      <c r="AN386" s="304"/>
      <c r="AO386" s="277"/>
      <c r="AP386" s="303"/>
      <c r="AQ386" s="303"/>
      <c r="AR386" s="304"/>
      <c r="AS386" s="303"/>
      <c r="AT386" s="303"/>
      <c r="AU386" s="303"/>
      <c r="AV386" s="303"/>
      <c r="AW386" s="213"/>
      <c r="AX386" s="213"/>
      <c r="AY386" s="213"/>
      <c r="AZ386" s="213"/>
      <c r="BA386" s="213"/>
      <c r="BB386" s="213"/>
      <c r="BC386" s="213"/>
      <c r="BD386" s="213"/>
      <c r="BE386" s="213"/>
      <c r="BF386" s="213"/>
      <c r="BG386" s="213"/>
      <c r="BH386" s="213"/>
      <c r="BI386" s="213"/>
      <c r="BJ386" s="213"/>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row>
    <row r="387" spans="1:243" ht="15.6">
      <c r="A387" s="170">
        <f>A381+1</f>
        <v>22</v>
      </c>
      <c r="B387" s="327">
        <v>311</v>
      </c>
      <c r="C387" s="287"/>
      <c r="D387" s="905">
        <v>0</v>
      </c>
      <c r="E387" s="905">
        <v>0</v>
      </c>
      <c r="F387" s="905">
        <v>0</v>
      </c>
      <c r="G387" s="905">
        <v>0</v>
      </c>
      <c r="H387" s="905">
        <v>0</v>
      </c>
      <c r="I387" s="905">
        <v>0</v>
      </c>
      <c r="J387" s="905">
        <v>0</v>
      </c>
      <c r="K387" s="905">
        <v>0</v>
      </c>
      <c r="L387" s="905">
        <v>0</v>
      </c>
      <c r="M387" s="905">
        <v>0</v>
      </c>
      <c r="N387" s="905">
        <v>0</v>
      </c>
      <c r="O387" s="905">
        <v>0</v>
      </c>
      <c r="P387" s="339"/>
      <c r="S387" s="277"/>
      <c r="T387" s="277"/>
      <c r="U387" s="277"/>
      <c r="V387" s="277"/>
      <c r="W387" s="277"/>
      <c r="X387" s="277"/>
      <c r="Y387" s="277"/>
      <c r="Z387" s="277"/>
      <c r="AA387" s="277"/>
      <c r="AB387" s="277"/>
      <c r="AC387" s="277"/>
      <c r="AD387" s="277"/>
      <c r="AE387" s="277"/>
      <c r="AF387" s="277"/>
      <c r="AG387" s="277"/>
      <c r="AH387" s="277"/>
      <c r="AI387" s="277"/>
      <c r="AJ387" s="216"/>
      <c r="AK387" s="304"/>
      <c r="AL387" s="303"/>
      <c r="AM387" s="216"/>
      <c r="AN387" s="304"/>
      <c r="AO387" s="277"/>
      <c r="AP387" s="303"/>
      <c r="AQ387" s="303"/>
      <c r="AR387" s="304"/>
      <c r="AS387" s="303"/>
      <c r="AT387" s="303"/>
      <c r="AU387" s="303"/>
      <c r="AV387" s="303"/>
      <c r="AW387" s="213"/>
      <c r="AX387" s="213"/>
      <c r="AY387" s="213"/>
      <c r="AZ387" s="213"/>
      <c r="BA387" s="213"/>
      <c r="BB387" s="213"/>
      <c r="BC387" s="213"/>
      <c r="BD387" s="213"/>
      <c r="BE387" s="213"/>
      <c r="BF387" s="213"/>
      <c r="BG387" s="213"/>
      <c r="BH387" s="213"/>
      <c r="BI387" s="213"/>
      <c r="BJ387" s="213"/>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row>
    <row r="388" spans="1:243" ht="15.6">
      <c r="A388" s="170">
        <f t="shared" ref="A388:A393" si="77">A387+1</f>
        <v>23</v>
      </c>
      <c r="B388" s="327">
        <v>312</v>
      </c>
      <c r="C388" s="287"/>
      <c r="D388" s="907">
        <v>0</v>
      </c>
      <c r="E388" s="907">
        <v>0</v>
      </c>
      <c r="F388" s="907">
        <v>0</v>
      </c>
      <c r="G388" s="907">
        <v>0</v>
      </c>
      <c r="H388" s="907">
        <v>0</v>
      </c>
      <c r="I388" s="907">
        <v>0</v>
      </c>
      <c r="J388" s="907">
        <v>0</v>
      </c>
      <c r="K388" s="907">
        <v>0</v>
      </c>
      <c r="L388" s="907">
        <v>0</v>
      </c>
      <c r="M388" s="907">
        <v>0</v>
      </c>
      <c r="N388" s="907">
        <v>0</v>
      </c>
      <c r="O388" s="907">
        <v>0</v>
      </c>
      <c r="P388" s="339"/>
      <c r="S388" s="277"/>
      <c r="T388" s="277"/>
      <c r="U388" s="277"/>
      <c r="V388" s="277"/>
      <c r="W388" s="277"/>
      <c r="X388" s="277"/>
      <c r="Y388" s="277"/>
      <c r="Z388" s="277"/>
      <c r="AA388" s="277"/>
      <c r="AB388" s="277"/>
      <c r="AC388" s="277"/>
      <c r="AD388" s="277"/>
      <c r="AE388" s="277"/>
      <c r="AF388" s="277"/>
      <c r="AG388" s="277"/>
      <c r="AH388" s="277"/>
      <c r="AI388" s="277"/>
      <c r="AJ388" s="216"/>
      <c r="AK388" s="304"/>
      <c r="AL388" s="303"/>
      <c r="AM388" s="216"/>
      <c r="AN388" s="304"/>
      <c r="AO388" s="277"/>
      <c r="AP388" s="303"/>
      <c r="AQ388" s="303"/>
      <c r="AR388" s="304"/>
      <c r="AS388" s="303"/>
      <c r="AT388" s="303"/>
      <c r="AU388" s="303"/>
      <c r="AV388" s="303"/>
      <c r="AW388" s="213"/>
      <c r="AX388" s="213"/>
      <c r="AY388" s="213"/>
      <c r="AZ388" s="213"/>
      <c r="BA388" s="213"/>
      <c r="BB388" s="213"/>
      <c r="BC388" s="213"/>
      <c r="BD388" s="213"/>
      <c r="BE388" s="213"/>
      <c r="BF388" s="213"/>
      <c r="BG388" s="213"/>
      <c r="BH388" s="213"/>
      <c r="BI388" s="213"/>
      <c r="BJ388" s="213"/>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row>
    <row r="389" spans="1:243" ht="15.6">
      <c r="A389" s="170">
        <f t="shared" si="77"/>
        <v>24</v>
      </c>
      <c r="B389" s="327">
        <v>312.10000000000002</v>
      </c>
      <c r="C389" s="287"/>
      <c r="D389" s="907">
        <v>0</v>
      </c>
      <c r="E389" s="907">
        <v>0</v>
      </c>
      <c r="F389" s="907">
        <v>0</v>
      </c>
      <c r="G389" s="907">
        <v>0</v>
      </c>
      <c r="H389" s="907">
        <v>0</v>
      </c>
      <c r="I389" s="907">
        <v>0</v>
      </c>
      <c r="J389" s="907">
        <v>0</v>
      </c>
      <c r="K389" s="907">
        <v>0</v>
      </c>
      <c r="L389" s="907">
        <v>0</v>
      </c>
      <c r="M389" s="907">
        <v>0</v>
      </c>
      <c r="N389" s="907">
        <v>0</v>
      </c>
      <c r="O389" s="907">
        <v>0</v>
      </c>
      <c r="P389" s="339"/>
      <c r="S389" s="277"/>
      <c r="T389" s="277"/>
      <c r="U389" s="277"/>
      <c r="V389" s="277"/>
      <c r="W389" s="277"/>
      <c r="X389" s="277"/>
      <c r="Y389" s="277"/>
      <c r="Z389" s="277"/>
      <c r="AA389" s="277"/>
      <c r="AB389" s="277"/>
      <c r="AC389" s="277"/>
      <c r="AD389" s="277"/>
      <c r="AE389" s="277"/>
      <c r="AF389" s="277"/>
      <c r="AG389" s="277"/>
      <c r="AH389" s="277"/>
      <c r="AI389" s="277"/>
      <c r="AJ389" s="216"/>
      <c r="AK389" s="304"/>
      <c r="AL389" s="303"/>
      <c r="AM389" s="216"/>
      <c r="AN389" s="304"/>
      <c r="AO389" s="277"/>
      <c r="AP389" s="303"/>
      <c r="AQ389" s="303"/>
      <c r="AR389" s="304"/>
      <c r="AS389" s="303"/>
      <c r="AT389" s="303"/>
      <c r="AU389" s="303"/>
      <c r="AV389" s="303"/>
      <c r="AW389" s="213"/>
      <c r="AX389" s="213"/>
      <c r="AY389" s="213"/>
      <c r="AZ389" s="213"/>
      <c r="BA389" s="213"/>
      <c r="BB389" s="213"/>
      <c r="BC389" s="213"/>
      <c r="BD389" s="213"/>
      <c r="BE389" s="213"/>
      <c r="BF389" s="213"/>
      <c r="BG389" s="213"/>
      <c r="BH389" s="213"/>
      <c r="BI389" s="213"/>
      <c r="BJ389" s="213"/>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row>
    <row r="390" spans="1:243" ht="15.6">
      <c r="A390" s="170">
        <f t="shared" si="77"/>
        <v>25</v>
      </c>
      <c r="B390" s="327">
        <v>312.2</v>
      </c>
      <c r="C390" s="287"/>
      <c r="D390" s="907">
        <v>0</v>
      </c>
      <c r="E390" s="907">
        <v>0</v>
      </c>
      <c r="F390" s="907">
        <v>0</v>
      </c>
      <c r="G390" s="907">
        <v>0</v>
      </c>
      <c r="H390" s="907">
        <v>0</v>
      </c>
      <c r="I390" s="907">
        <v>0</v>
      </c>
      <c r="J390" s="907">
        <v>0</v>
      </c>
      <c r="K390" s="907">
        <v>0</v>
      </c>
      <c r="L390" s="907">
        <v>0</v>
      </c>
      <c r="M390" s="907">
        <v>0</v>
      </c>
      <c r="N390" s="907">
        <v>0</v>
      </c>
      <c r="O390" s="907">
        <v>0</v>
      </c>
      <c r="P390" s="339"/>
      <c r="S390" s="277"/>
      <c r="T390" s="277"/>
      <c r="U390" s="277"/>
      <c r="V390" s="277"/>
      <c r="W390" s="277"/>
      <c r="X390" s="277"/>
      <c r="Y390" s="277"/>
      <c r="Z390" s="277"/>
      <c r="AA390" s="277"/>
      <c r="AB390" s="277"/>
      <c r="AC390" s="277"/>
      <c r="AD390" s="277"/>
      <c r="AE390" s="277"/>
      <c r="AF390" s="277"/>
      <c r="AG390" s="277"/>
      <c r="AH390" s="277"/>
      <c r="AI390" s="277"/>
      <c r="AJ390" s="216"/>
      <c r="AK390" s="304"/>
      <c r="AL390" s="303"/>
      <c r="AM390" s="216"/>
      <c r="AN390" s="304"/>
      <c r="AO390" s="277"/>
      <c r="AP390" s="303"/>
      <c r="AQ390" s="303"/>
      <c r="AR390" s="304"/>
      <c r="AS390" s="303"/>
      <c r="AT390" s="303"/>
      <c r="AU390" s="303"/>
      <c r="AV390" s="303"/>
      <c r="AW390" s="213"/>
      <c r="AX390" s="213"/>
      <c r="AY390" s="213"/>
      <c r="AZ390" s="213"/>
      <c r="BA390" s="213"/>
      <c r="BB390" s="213"/>
      <c r="BC390" s="213"/>
      <c r="BD390" s="213"/>
      <c r="BE390" s="213"/>
      <c r="BF390" s="213"/>
      <c r="BG390" s="213"/>
      <c r="BH390" s="213"/>
      <c r="BI390" s="213"/>
      <c r="BJ390" s="213"/>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row>
    <row r="391" spans="1:243" ht="15.6">
      <c r="A391" s="170">
        <f t="shared" si="77"/>
        <v>26</v>
      </c>
      <c r="B391" s="327">
        <v>314</v>
      </c>
      <c r="C391" s="287"/>
      <c r="D391" s="907">
        <v>0</v>
      </c>
      <c r="E391" s="907">
        <v>0</v>
      </c>
      <c r="F391" s="907">
        <v>0</v>
      </c>
      <c r="G391" s="907">
        <v>0</v>
      </c>
      <c r="H391" s="907">
        <v>0</v>
      </c>
      <c r="I391" s="907">
        <v>0</v>
      </c>
      <c r="J391" s="907">
        <v>0</v>
      </c>
      <c r="K391" s="907">
        <v>0</v>
      </c>
      <c r="L391" s="907">
        <v>0</v>
      </c>
      <c r="M391" s="907">
        <v>0</v>
      </c>
      <c r="N391" s="907">
        <v>0</v>
      </c>
      <c r="O391" s="907">
        <v>0</v>
      </c>
      <c r="P391" s="339"/>
      <c r="S391" s="277"/>
      <c r="T391" s="277"/>
      <c r="U391" s="277"/>
      <c r="V391" s="277"/>
      <c r="W391" s="277"/>
      <c r="X391" s="277"/>
      <c r="Y391" s="277"/>
      <c r="Z391" s="277"/>
      <c r="AA391" s="277"/>
      <c r="AB391" s="277"/>
      <c r="AC391" s="277"/>
      <c r="AD391" s="277"/>
      <c r="AE391" s="277"/>
      <c r="AF391" s="277"/>
      <c r="AG391" s="277"/>
      <c r="AH391" s="277"/>
      <c r="AI391" s="277"/>
      <c r="AJ391" s="216"/>
      <c r="AK391" s="304"/>
      <c r="AL391" s="303"/>
      <c r="AM391" s="216"/>
      <c r="AN391" s="304"/>
      <c r="AO391" s="277"/>
      <c r="AP391" s="303"/>
      <c r="AQ391" s="303"/>
      <c r="AR391" s="304"/>
      <c r="AS391" s="303"/>
      <c r="AT391" s="303"/>
      <c r="AU391" s="303"/>
      <c r="AV391" s="303"/>
      <c r="AW391" s="213"/>
      <c r="AX391" s="213"/>
      <c r="AY391" s="213"/>
      <c r="AZ391" s="213"/>
      <c r="BA391" s="213"/>
      <c r="BB391" s="213"/>
      <c r="BC391" s="213"/>
      <c r="BD391" s="213"/>
      <c r="BE391" s="213"/>
      <c r="BF391" s="213"/>
      <c r="BG391" s="213"/>
      <c r="BH391" s="213"/>
      <c r="BI391" s="213"/>
      <c r="BJ391" s="213"/>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row>
    <row r="392" spans="1:243" ht="15.6">
      <c r="A392" s="170">
        <f t="shared" si="77"/>
        <v>27</v>
      </c>
      <c r="B392" s="327">
        <v>315</v>
      </c>
      <c r="C392" s="287"/>
      <c r="D392" s="907">
        <v>0</v>
      </c>
      <c r="E392" s="907">
        <v>0</v>
      </c>
      <c r="F392" s="907">
        <v>0</v>
      </c>
      <c r="G392" s="907">
        <v>0</v>
      </c>
      <c r="H392" s="907">
        <v>0</v>
      </c>
      <c r="I392" s="907">
        <v>0</v>
      </c>
      <c r="J392" s="907">
        <v>0</v>
      </c>
      <c r="K392" s="907">
        <v>0</v>
      </c>
      <c r="L392" s="907">
        <v>0</v>
      </c>
      <c r="M392" s="907">
        <v>0</v>
      </c>
      <c r="N392" s="907">
        <v>0</v>
      </c>
      <c r="O392" s="907">
        <v>0</v>
      </c>
      <c r="P392" s="339"/>
      <c r="S392" s="277"/>
      <c r="T392" s="277"/>
      <c r="U392" s="277"/>
      <c r="V392" s="277"/>
      <c r="W392" s="277"/>
      <c r="X392" s="277"/>
      <c r="Y392" s="277"/>
      <c r="Z392" s="277"/>
      <c r="AA392" s="277"/>
      <c r="AB392" s="277"/>
      <c r="AC392" s="277"/>
      <c r="AD392" s="277"/>
      <c r="AE392" s="277"/>
      <c r="AF392" s="277"/>
      <c r="AG392" s="277"/>
      <c r="AH392" s="277"/>
      <c r="AI392" s="277"/>
      <c r="AJ392" s="216"/>
      <c r="AK392" s="304"/>
      <c r="AL392" s="303"/>
      <c r="AM392" s="216"/>
      <c r="AN392" s="304"/>
      <c r="AO392" s="277"/>
      <c r="AP392" s="303"/>
      <c r="AQ392" s="303"/>
      <c r="AR392" s="304"/>
      <c r="AS392" s="303"/>
      <c r="AT392" s="303"/>
      <c r="AU392" s="303"/>
      <c r="AV392" s="303"/>
      <c r="AW392" s="213"/>
      <c r="AX392" s="213"/>
      <c r="AY392" s="213"/>
      <c r="AZ392" s="213"/>
      <c r="BA392" s="213"/>
      <c r="BB392" s="213"/>
      <c r="BC392" s="213"/>
      <c r="BD392" s="213"/>
      <c r="BE392" s="213"/>
      <c r="BF392" s="213"/>
      <c r="BG392" s="213"/>
      <c r="BH392" s="213"/>
      <c r="BI392" s="213"/>
      <c r="BJ392" s="213"/>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row>
    <row r="393" spans="1:243" ht="15.6">
      <c r="A393" s="170">
        <f t="shared" si="77"/>
        <v>28</v>
      </c>
      <c r="B393" s="327">
        <v>316</v>
      </c>
      <c r="C393" s="287"/>
      <c r="D393" s="907">
        <v>0</v>
      </c>
      <c r="E393" s="907">
        <v>0</v>
      </c>
      <c r="F393" s="907">
        <v>0</v>
      </c>
      <c r="G393" s="907">
        <v>0</v>
      </c>
      <c r="H393" s="907">
        <v>0</v>
      </c>
      <c r="I393" s="907">
        <v>0</v>
      </c>
      <c r="J393" s="907">
        <v>0</v>
      </c>
      <c r="K393" s="907">
        <v>0</v>
      </c>
      <c r="L393" s="907">
        <v>0</v>
      </c>
      <c r="M393" s="907">
        <v>0</v>
      </c>
      <c r="N393" s="907">
        <v>0</v>
      </c>
      <c r="O393" s="907">
        <v>0</v>
      </c>
      <c r="P393" s="339"/>
      <c r="S393" s="277"/>
      <c r="T393" s="277"/>
      <c r="U393" s="277"/>
      <c r="V393" s="277"/>
      <c r="W393" s="277"/>
      <c r="X393" s="277"/>
      <c r="Y393" s="277"/>
      <c r="Z393" s="277"/>
      <c r="AA393" s="277"/>
      <c r="AB393" s="277"/>
      <c r="AC393" s="277"/>
      <c r="AD393" s="277"/>
      <c r="AE393" s="277"/>
      <c r="AF393" s="277"/>
      <c r="AG393" s="277"/>
      <c r="AH393" s="277"/>
      <c r="AI393" s="277"/>
      <c r="AJ393" s="216"/>
      <c r="AK393" s="304"/>
      <c r="AL393" s="303"/>
      <c r="AM393" s="216"/>
      <c r="AN393" s="304"/>
      <c r="AO393" s="277"/>
      <c r="AP393" s="303"/>
      <c r="AQ393" s="303"/>
      <c r="AR393" s="304"/>
      <c r="AS393" s="303"/>
      <c r="AT393" s="303"/>
      <c r="AU393" s="303"/>
      <c r="AV393" s="303"/>
      <c r="AW393" s="213"/>
      <c r="AX393" s="213"/>
      <c r="AY393" s="213"/>
      <c r="AZ393" s="213"/>
      <c r="BA393" s="213"/>
      <c r="BB393" s="213"/>
      <c r="BC393" s="213"/>
      <c r="BD393" s="213"/>
      <c r="BE393" s="213"/>
      <c r="BF393" s="213"/>
      <c r="BG393" s="213"/>
      <c r="BH393" s="213"/>
      <c r="BI393" s="213"/>
      <c r="BJ393" s="21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row>
    <row r="394" spans="1:243" ht="15.6">
      <c r="A394" s="170"/>
      <c r="B394" s="336"/>
      <c r="C394" s="287"/>
      <c r="D394" s="287"/>
      <c r="E394" s="287"/>
      <c r="F394" s="287"/>
      <c r="G394" s="287"/>
      <c r="H394" s="287"/>
      <c r="I394" s="287"/>
      <c r="J394" s="287"/>
      <c r="K394" s="334"/>
      <c r="L394" s="287"/>
      <c r="M394" s="287"/>
      <c r="N394" s="287"/>
      <c r="O394" s="287"/>
      <c r="P394" s="339"/>
      <c r="S394" s="277"/>
      <c r="T394" s="277"/>
      <c r="U394" s="277"/>
      <c r="V394" s="277"/>
      <c r="W394" s="277"/>
      <c r="X394" s="277"/>
      <c r="Y394" s="277"/>
      <c r="Z394" s="277"/>
      <c r="AA394" s="277"/>
      <c r="AB394" s="277"/>
      <c r="AC394" s="277"/>
      <c r="AD394" s="277"/>
      <c r="AE394" s="277"/>
      <c r="AF394" s="277"/>
      <c r="AG394" s="277"/>
      <c r="AH394" s="277"/>
      <c r="AI394" s="277"/>
      <c r="AJ394" s="216"/>
      <c r="AK394" s="304"/>
      <c r="AL394" s="303"/>
      <c r="AM394" s="216"/>
      <c r="AN394" s="304"/>
      <c r="AO394" s="277"/>
      <c r="AP394" s="303"/>
      <c r="AQ394" s="303"/>
      <c r="AR394" s="304"/>
      <c r="AS394" s="303"/>
      <c r="AT394" s="303"/>
      <c r="AU394" s="303"/>
      <c r="AV394" s="303"/>
      <c r="AW394" s="213"/>
      <c r="AX394" s="213"/>
      <c r="AY394" s="213"/>
      <c r="AZ394" s="213"/>
      <c r="BA394" s="213"/>
      <c r="BB394" s="213"/>
      <c r="BC394" s="213"/>
      <c r="BD394" s="213"/>
      <c r="BE394" s="213"/>
      <c r="BF394" s="213"/>
      <c r="BG394" s="213"/>
      <c r="BH394" s="213"/>
      <c r="BI394" s="213"/>
      <c r="BJ394" s="213"/>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row>
    <row r="395" spans="1:243" ht="18.600000000000001">
      <c r="A395" s="355"/>
      <c r="B395" s="355" t="s">
        <v>1078</v>
      </c>
      <c r="C395" s="334" t="s">
        <v>727</v>
      </c>
      <c r="D395" s="1778" t="s">
        <v>728</v>
      </c>
      <c r="E395" s="1779"/>
      <c r="F395" s="1779"/>
      <c r="G395" s="1779"/>
      <c r="H395" s="1779"/>
      <c r="I395" s="1779"/>
      <c r="J395" s="1779"/>
      <c r="K395" s="1779"/>
      <c r="L395" s="1779"/>
      <c r="M395" s="1779"/>
      <c r="N395" s="1779"/>
      <c r="O395" s="1779"/>
      <c r="P395" s="1779"/>
      <c r="S395" s="277"/>
      <c r="T395" s="277"/>
      <c r="U395" s="277"/>
      <c r="V395" s="277"/>
      <c r="W395" s="277"/>
      <c r="X395" s="277"/>
      <c r="Y395" s="277"/>
      <c r="Z395" s="277"/>
      <c r="AA395" s="277"/>
      <c r="AB395" s="277"/>
      <c r="AC395" s="277"/>
      <c r="AD395" s="277"/>
      <c r="AE395" s="277"/>
      <c r="AF395" s="277"/>
      <c r="AG395" s="277"/>
      <c r="AH395" s="277"/>
      <c r="AI395" s="277"/>
      <c r="AJ395" s="216"/>
      <c r="AK395" s="304"/>
      <c r="AL395" s="303"/>
      <c r="AM395" s="216"/>
      <c r="AN395" s="304"/>
      <c r="AO395" s="277"/>
      <c r="AP395" s="303"/>
      <c r="AQ395" s="303"/>
      <c r="AR395" s="304"/>
      <c r="AS395" s="303"/>
      <c r="AT395" s="303"/>
      <c r="AU395" s="303"/>
      <c r="AV395" s="303"/>
      <c r="AW395" s="213"/>
      <c r="AX395" s="213"/>
      <c r="AY395" s="213"/>
      <c r="AZ395" s="213"/>
      <c r="BA395" s="213"/>
      <c r="BB395" s="213"/>
      <c r="BC395" s="213"/>
      <c r="BD395" s="213"/>
      <c r="BE395" s="213"/>
      <c r="BF395" s="213"/>
      <c r="BG395" s="213"/>
      <c r="BH395" s="213"/>
      <c r="BI395" s="213"/>
      <c r="BJ395" s="213"/>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row>
    <row r="396" spans="1:243" ht="18.600000000000001">
      <c r="A396" s="322"/>
      <c r="B396" s="322" t="s">
        <v>928</v>
      </c>
      <c r="C396" s="335" t="s">
        <v>729</v>
      </c>
      <c r="D396" s="358" t="s">
        <v>716</v>
      </c>
      <c r="E396" s="358" t="s">
        <v>717</v>
      </c>
      <c r="F396" s="358" t="s">
        <v>718</v>
      </c>
      <c r="G396" s="358" t="s">
        <v>719</v>
      </c>
      <c r="H396" s="358" t="s">
        <v>720</v>
      </c>
      <c r="I396" s="358" t="s">
        <v>721</v>
      </c>
      <c r="J396" s="358" t="s">
        <v>722</v>
      </c>
      <c r="K396" s="358" t="s">
        <v>723</v>
      </c>
      <c r="L396" s="358" t="s">
        <v>724</v>
      </c>
      <c r="M396" s="358" t="s">
        <v>725</v>
      </c>
      <c r="N396" s="358" t="s">
        <v>726</v>
      </c>
      <c r="O396" s="358" t="s">
        <v>715</v>
      </c>
      <c r="P396" s="360" t="s">
        <v>468</v>
      </c>
      <c r="S396" s="277"/>
      <c r="T396" s="277"/>
      <c r="U396" s="277"/>
      <c r="V396" s="277"/>
      <c r="W396" s="277"/>
      <c r="X396" s="277"/>
      <c r="Y396" s="277"/>
      <c r="Z396" s="277"/>
      <c r="AA396" s="277"/>
      <c r="AB396" s="277"/>
      <c r="AC396" s="277"/>
      <c r="AD396" s="277"/>
      <c r="AE396" s="277"/>
      <c r="AF396" s="277"/>
      <c r="AG396" s="277"/>
      <c r="AH396" s="277"/>
      <c r="AI396" s="277"/>
      <c r="AJ396" s="216"/>
      <c r="AK396" s="304"/>
      <c r="AL396" s="303"/>
      <c r="AM396" s="216"/>
      <c r="AN396" s="304"/>
      <c r="AO396" s="277"/>
      <c r="AP396" s="303"/>
      <c r="AQ396" s="303"/>
      <c r="AR396" s="304"/>
      <c r="AS396" s="303"/>
      <c r="AT396" s="303"/>
      <c r="AU396" s="303"/>
      <c r="AV396" s="303"/>
      <c r="AW396" s="213"/>
      <c r="AX396" s="213"/>
      <c r="AY396" s="213"/>
      <c r="AZ396" s="213"/>
      <c r="BA396" s="213"/>
      <c r="BB396" s="213"/>
      <c r="BC396" s="213"/>
      <c r="BD396" s="213"/>
      <c r="BE396" s="213"/>
      <c r="BF396" s="213"/>
      <c r="BG396" s="213"/>
      <c r="BH396" s="213"/>
      <c r="BI396" s="213"/>
      <c r="BJ396" s="213"/>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row>
    <row r="397" spans="1:243" ht="15.6">
      <c r="A397" s="170">
        <f>A393+1</f>
        <v>29</v>
      </c>
      <c r="B397" s="327">
        <f>B387</f>
        <v>311</v>
      </c>
      <c r="C397" s="908"/>
      <c r="D397" s="603">
        <f t="shared" ref="D397:O403" si="78">D387*$C397/100/12</f>
        <v>0</v>
      </c>
      <c r="E397" s="603">
        <f t="shared" si="78"/>
        <v>0</v>
      </c>
      <c r="F397" s="603">
        <f t="shared" si="78"/>
        <v>0</v>
      </c>
      <c r="G397" s="603">
        <f t="shared" si="78"/>
        <v>0</v>
      </c>
      <c r="H397" s="603">
        <f t="shared" si="78"/>
        <v>0</v>
      </c>
      <c r="I397" s="603">
        <f t="shared" si="78"/>
        <v>0</v>
      </c>
      <c r="J397" s="603">
        <f t="shared" si="78"/>
        <v>0</v>
      </c>
      <c r="K397" s="603">
        <f t="shared" si="78"/>
        <v>0</v>
      </c>
      <c r="L397" s="603">
        <f t="shared" si="78"/>
        <v>0</v>
      </c>
      <c r="M397" s="603">
        <f t="shared" si="78"/>
        <v>0</v>
      </c>
      <c r="N397" s="603">
        <f t="shared" si="78"/>
        <v>0</v>
      </c>
      <c r="O397" s="603">
        <f t="shared" si="78"/>
        <v>0</v>
      </c>
      <c r="P397" s="333">
        <f t="shared" ref="P397:P403" si="79">SUM(D397:O397)</f>
        <v>0</v>
      </c>
      <c r="S397" s="277"/>
      <c r="T397" s="277"/>
      <c r="U397" s="277"/>
      <c r="V397" s="277"/>
      <c r="W397" s="277"/>
      <c r="X397" s="277"/>
      <c r="Y397" s="277"/>
      <c r="Z397" s="277"/>
      <c r="AA397" s="277"/>
      <c r="AB397" s="277"/>
      <c r="AC397" s="277"/>
      <c r="AD397" s="277"/>
      <c r="AE397" s="277"/>
      <c r="AF397" s="277"/>
      <c r="AG397" s="277"/>
      <c r="AH397" s="277"/>
      <c r="AI397" s="277"/>
      <c r="AJ397" s="216"/>
      <c r="AK397" s="304"/>
      <c r="AL397" s="303"/>
      <c r="AM397" s="216"/>
      <c r="AN397" s="304"/>
      <c r="AO397" s="277"/>
      <c r="AP397" s="303"/>
      <c r="AQ397" s="303"/>
      <c r="AR397" s="304"/>
      <c r="AS397" s="303"/>
      <c r="AT397" s="303"/>
      <c r="AU397" s="303"/>
      <c r="AV397" s="303"/>
      <c r="AW397" s="213"/>
      <c r="AX397" s="213"/>
      <c r="AY397" s="213"/>
      <c r="AZ397" s="213"/>
      <c r="BA397" s="213"/>
      <c r="BB397" s="213"/>
      <c r="BC397" s="213"/>
      <c r="BD397" s="213"/>
      <c r="BE397" s="213"/>
      <c r="BF397" s="213"/>
      <c r="BG397" s="213"/>
      <c r="BH397" s="213"/>
      <c r="BI397" s="213"/>
      <c r="BJ397" s="213"/>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row>
    <row r="398" spans="1:243" ht="15.6">
      <c r="A398" s="170">
        <f t="shared" ref="A398:A403" si="80">A397+1</f>
        <v>30</v>
      </c>
      <c r="B398" s="327">
        <f t="shared" ref="B398:B403" si="81">B388</f>
        <v>312</v>
      </c>
      <c r="C398" s="908"/>
      <c r="D398" s="603">
        <f t="shared" si="78"/>
        <v>0</v>
      </c>
      <c r="E398" s="603">
        <f t="shared" si="78"/>
        <v>0</v>
      </c>
      <c r="F398" s="603">
        <f t="shared" si="78"/>
        <v>0</v>
      </c>
      <c r="G398" s="603">
        <f t="shared" si="78"/>
        <v>0</v>
      </c>
      <c r="H398" s="603">
        <f t="shared" si="78"/>
        <v>0</v>
      </c>
      <c r="I398" s="603">
        <f t="shared" si="78"/>
        <v>0</v>
      </c>
      <c r="J398" s="603">
        <f t="shared" si="78"/>
        <v>0</v>
      </c>
      <c r="K398" s="603">
        <f t="shared" si="78"/>
        <v>0</v>
      </c>
      <c r="L398" s="603">
        <f t="shared" si="78"/>
        <v>0</v>
      </c>
      <c r="M398" s="603">
        <f t="shared" si="78"/>
        <v>0</v>
      </c>
      <c r="N398" s="603">
        <f t="shared" si="78"/>
        <v>0</v>
      </c>
      <c r="O398" s="603">
        <f t="shared" si="78"/>
        <v>0</v>
      </c>
      <c r="P398" s="333">
        <f t="shared" si="79"/>
        <v>0</v>
      </c>
      <c r="S398" s="277"/>
      <c r="T398" s="277"/>
      <c r="U398" s="277"/>
      <c r="V398" s="277"/>
      <c r="W398" s="277"/>
      <c r="X398" s="277"/>
      <c r="Y398" s="277"/>
      <c r="Z398" s="277"/>
      <c r="AA398" s="277"/>
      <c r="AB398" s="277"/>
      <c r="AC398" s="277"/>
      <c r="AD398" s="277"/>
      <c r="AE398" s="277"/>
      <c r="AF398" s="277"/>
      <c r="AG398" s="277"/>
      <c r="AH398" s="277"/>
      <c r="AI398" s="277"/>
      <c r="AJ398" s="216"/>
      <c r="AK398" s="304"/>
      <c r="AL398" s="303"/>
      <c r="AM398" s="216"/>
      <c r="AN398" s="304"/>
      <c r="AO398" s="277"/>
      <c r="AP398" s="303"/>
      <c r="AQ398" s="303"/>
      <c r="AR398" s="304"/>
      <c r="AS398" s="303"/>
      <c r="AT398" s="303"/>
      <c r="AU398" s="303"/>
      <c r="AV398" s="303"/>
      <c r="AW398" s="213"/>
      <c r="AX398" s="213"/>
      <c r="AY398" s="213"/>
      <c r="AZ398" s="213"/>
      <c r="BA398" s="213"/>
      <c r="BB398" s="213"/>
      <c r="BC398" s="213"/>
      <c r="BD398" s="213"/>
      <c r="BE398" s="213"/>
      <c r="BF398" s="213"/>
      <c r="BG398" s="213"/>
      <c r="BH398" s="213"/>
      <c r="BI398" s="213"/>
      <c r="BJ398" s="213"/>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row>
    <row r="399" spans="1:243" ht="15.6">
      <c r="A399" s="170">
        <f t="shared" si="80"/>
        <v>31</v>
      </c>
      <c r="B399" s="327">
        <f t="shared" si="81"/>
        <v>312.10000000000002</v>
      </c>
      <c r="C399" s="908"/>
      <c r="D399" s="603">
        <f t="shared" si="78"/>
        <v>0</v>
      </c>
      <c r="E399" s="603">
        <f t="shared" si="78"/>
        <v>0</v>
      </c>
      <c r="F399" s="603">
        <f t="shared" si="78"/>
        <v>0</v>
      </c>
      <c r="G399" s="603">
        <f t="shared" si="78"/>
        <v>0</v>
      </c>
      <c r="H399" s="603">
        <f t="shared" si="78"/>
        <v>0</v>
      </c>
      <c r="I399" s="603">
        <f t="shared" si="78"/>
        <v>0</v>
      </c>
      <c r="J399" s="603">
        <f t="shared" si="78"/>
        <v>0</v>
      </c>
      <c r="K399" s="603">
        <f t="shared" si="78"/>
        <v>0</v>
      </c>
      <c r="L399" s="603">
        <f t="shared" si="78"/>
        <v>0</v>
      </c>
      <c r="M399" s="603">
        <f t="shared" si="78"/>
        <v>0</v>
      </c>
      <c r="N399" s="603">
        <f t="shared" si="78"/>
        <v>0</v>
      </c>
      <c r="O399" s="603">
        <f t="shared" si="78"/>
        <v>0</v>
      </c>
      <c r="P399" s="333">
        <f t="shared" si="79"/>
        <v>0</v>
      </c>
      <c r="S399" s="277"/>
      <c r="T399" s="277"/>
      <c r="U399" s="277"/>
      <c r="V399" s="277"/>
      <c r="W399" s="277"/>
      <c r="X399" s="277"/>
      <c r="Y399" s="277"/>
      <c r="Z399" s="277"/>
      <c r="AA399" s="277"/>
      <c r="AB399" s="277"/>
      <c r="AC399" s="277"/>
      <c r="AD399" s="277"/>
      <c r="AE399" s="277"/>
      <c r="AF399" s="277"/>
      <c r="AG399" s="277"/>
      <c r="AH399" s="277"/>
      <c r="AI399" s="277"/>
      <c r="AJ399" s="216"/>
      <c r="AK399" s="304"/>
      <c r="AL399" s="303"/>
      <c r="AM399" s="216"/>
      <c r="AN399" s="304"/>
      <c r="AO399" s="277"/>
      <c r="AP399" s="303"/>
      <c r="AQ399" s="303"/>
      <c r="AR399" s="304"/>
      <c r="AS399" s="303"/>
      <c r="AT399" s="303"/>
      <c r="AU399" s="303"/>
      <c r="AV399" s="303"/>
      <c r="AW399" s="213"/>
      <c r="AX399" s="213"/>
      <c r="AY399" s="213"/>
      <c r="AZ399" s="213"/>
      <c r="BA399" s="213"/>
      <c r="BB399" s="213"/>
      <c r="BC399" s="213"/>
      <c r="BD399" s="213"/>
      <c r="BE399" s="213"/>
      <c r="BF399" s="213"/>
      <c r="BG399" s="213"/>
      <c r="BH399" s="213"/>
      <c r="BI399" s="213"/>
      <c r="BJ399" s="213"/>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row>
    <row r="400" spans="1:243" ht="15.6">
      <c r="A400" s="170">
        <f t="shared" si="80"/>
        <v>32</v>
      </c>
      <c r="B400" s="327">
        <f t="shared" si="81"/>
        <v>312.2</v>
      </c>
      <c r="C400" s="908"/>
      <c r="D400" s="603">
        <f t="shared" si="78"/>
        <v>0</v>
      </c>
      <c r="E400" s="603">
        <f t="shared" si="78"/>
        <v>0</v>
      </c>
      <c r="F400" s="603">
        <f t="shared" si="78"/>
        <v>0</v>
      </c>
      <c r="G400" s="603">
        <f t="shared" si="78"/>
        <v>0</v>
      </c>
      <c r="H400" s="603">
        <f t="shared" si="78"/>
        <v>0</v>
      </c>
      <c r="I400" s="603">
        <f t="shared" si="78"/>
        <v>0</v>
      </c>
      <c r="J400" s="603">
        <f t="shared" si="78"/>
        <v>0</v>
      </c>
      <c r="K400" s="603">
        <f t="shared" si="78"/>
        <v>0</v>
      </c>
      <c r="L400" s="603">
        <f t="shared" si="78"/>
        <v>0</v>
      </c>
      <c r="M400" s="603">
        <f t="shared" si="78"/>
        <v>0</v>
      </c>
      <c r="N400" s="603">
        <f t="shared" si="78"/>
        <v>0</v>
      </c>
      <c r="O400" s="603">
        <f t="shared" si="78"/>
        <v>0</v>
      </c>
      <c r="P400" s="333">
        <f t="shared" si="79"/>
        <v>0</v>
      </c>
      <c r="S400" s="277"/>
      <c r="T400" s="277"/>
      <c r="U400" s="277"/>
      <c r="V400" s="277"/>
      <c r="W400" s="277"/>
      <c r="X400" s="277"/>
      <c r="Y400" s="277"/>
      <c r="Z400" s="277"/>
      <c r="AA400" s="277"/>
      <c r="AB400" s="277"/>
      <c r="AC400" s="277"/>
      <c r="AD400" s="277"/>
      <c r="AE400" s="277"/>
      <c r="AF400" s="277"/>
      <c r="AG400" s="277"/>
      <c r="AH400" s="277"/>
      <c r="AI400" s="277"/>
      <c r="AJ400" s="216"/>
      <c r="AK400" s="304"/>
      <c r="AL400" s="303"/>
      <c r="AM400" s="216"/>
      <c r="AN400" s="304"/>
      <c r="AO400" s="277"/>
      <c r="AP400" s="303"/>
      <c r="AQ400" s="303"/>
      <c r="AR400" s="304"/>
      <c r="AS400" s="303"/>
      <c r="AT400" s="303"/>
      <c r="AU400" s="303"/>
      <c r="AV400" s="303"/>
      <c r="AW400" s="213"/>
      <c r="AX400" s="213"/>
      <c r="AY400" s="213"/>
      <c r="AZ400" s="213"/>
      <c r="BA400" s="213"/>
      <c r="BB400" s="213"/>
      <c r="BC400" s="213"/>
      <c r="BD400" s="213"/>
      <c r="BE400" s="213"/>
      <c r="BF400" s="213"/>
      <c r="BG400" s="213"/>
      <c r="BH400" s="213"/>
      <c r="BI400" s="213"/>
      <c r="BJ400" s="213"/>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row>
    <row r="401" spans="1:243" ht="15.6">
      <c r="A401" s="170">
        <f t="shared" si="80"/>
        <v>33</v>
      </c>
      <c r="B401" s="327">
        <f t="shared" si="81"/>
        <v>314</v>
      </c>
      <c r="C401" s="908"/>
      <c r="D401" s="603">
        <f t="shared" si="78"/>
        <v>0</v>
      </c>
      <c r="E401" s="603">
        <f t="shared" si="78"/>
        <v>0</v>
      </c>
      <c r="F401" s="603">
        <f t="shared" si="78"/>
        <v>0</v>
      </c>
      <c r="G401" s="603">
        <f t="shared" si="78"/>
        <v>0</v>
      </c>
      <c r="H401" s="603">
        <f t="shared" si="78"/>
        <v>0</v>
      </c>
      <c r="I401" s="603">
        <f t="shared" si="78"/>
        <v>0</v>
      </c>
      <c r="J401" s="603">
        <f t="shared" si="78"/>
        <v>0</v>
      </c>
      <c r="K401" s="603">
        <f t="shared" si="78"/>
        <v>0</v>
      </c>
      <c r="L401" s="603">
        <f t="shared" si="78"/>
        <v>0</v>
      </c>
      <c r="M401" s="603">
        <f t="shared" si="78"/>
        <v>0</v>
      </c>
      <c r="N401" s="603">
        <f t="shared" si="78"/>
        <v>0</v>
      </c>
      <c r="O401" s="603">
        <f t="shared" si="78"/>
        <v>0</v>
      </c>
      <c r="P401" s="333">
        <f t="shared" si="79"/>
        <v>0</v>
      </c>
      <c r="S401" s="277"/>
      <c r="T401" s="277"/>
      <c r="U401" s="277"/>
      <c r="V401" s="277"/>
      <c r="W401" s="277"/>
      <c r="X401" s="277"/>
      <c r="Y401" s="277"/>
      <c r="Z401" s="277"/>
      <c r="AA401" s="277"/>
      <c r="AB401" s="277"/>
      <c r="AC401" s="277"/>
      <c r="AD401" s="277"/>
      <c r="AE401" s="277"/>
      <c r="AF401" s="277"/>
      <c r="AG401" s="277"/>
      <c r="AH401" s="277"/>
      <c r="AI401" s="277"/>
      <c r="AJ401" s="216"/>
      <c r="AK401" s="304"/>
      <c r="AL401" s="303"/>
      <c r="AM401" s="216"/>
      <c r="AN401" s="304"/>
      <c r="AO401" s="277"/>
      <c r="AP401" s="303"/>
      <c r="AQ401" s="303"/>
      <c r="AR401" s="304"/>
      <c r="AS401" s="303"/>
      <c r="AT401" s="303"/>
      <c r="AU401" s="303"/>
      <c r="AV401" s="303"/>
      <c r="AW401" s="213"/>
      <c r="AX401" s="213"/>
      <c r="AY401" s="213"/>
      <c r="AZ401" s="213"/>
      <c r="BA401" s="213"/>
      <c r="BB401" s="213"/>
      <c r="BC401" s="213"/>
      <c r="BD401" s="213"/>
      <c r="BE401" s="213"/>
      <c r="BF401" s="213"/>
      <c r="BG401" s="213"/>
      <c r="BH401" s="213"/>
      <c r="BI401" s="213"/>
      <c r="BJ401" s="213"/>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row>
    <row r="402" spans="1:243" ht="15.6">
      <c r="A402" s="170">
        <f t="shared" si="80"/>
        <v>34</v>
      </c>
      <c r="B402" s="327">
        <f t="shared" si="81"/>
        <v>315</v>
      </c>
      <c r="C402" s="908"/>
      <c r="D402" s="603">
        <f t="shared" si="78"/>
        <v>0</v>
      </c>
      <c r="E402" s="603">
        <f t="shared" si="78"/>
        <v>0</v>
      </c>
      <c r="F402" s="603">
        <f t="shared" si="78"/>
        <v>0</v>
      </c>
      <c r="G402" s="603">
        <f t="shared" si="78"/>
        <v>0</v>
      </c>
      <c r="H402" s="603">
        <f t="shared" si="78"/>
        <v>0</v>
      </c>
      <c r="I402" s="603">
        <f t="shared" si="78"/>
        <v>0</v>
      </c>
      <c r="J402" s="603">
        <f t="shared" si="78"/>
        <v>0</v>
      </c>
      <c r="K402" s="603">
        <f t="shared" si="78"/>
        <v>0</v>
      </c>
      <c r="L402" s="603">
        <f t="shared" si="78"/>
        <v>0</v>
      </c>
      <c r="M402" s="603">
        <f t="shared" si="78"/>
        <v>0</v>
      </c>
      <c r="N402" s="603">
        <f t="shared" si="78"/>
        <v>0</v>
      </c>
      <c r="O402" s="603">
        <f t="shared" si="78"/>
        <v>0</v>
      </c>
      <c r="P402" s="333">
        <f t="shared" si="79"/>
        <v>0</v>
      </c>
      <c r="S402" s="277"/>
      <c r="T402" s="277"/>
      <c r="U402" s="277"/>
      <c r="V402" s="277"/>
      <c r="W402" s="277"/>
      <c r="X402" s="277"/>
      <c r="Y402" s="277"/>
      <c r="Z402" s="277"/>
      <c r="AA402" s="277"/>
      <c r="AB402" s="277"/>
      <c r="AC402" s="277"/>
      <c r="AD402" s="277"/>
      <c r="AE402" s="277"/>
      <c r="AF402" s="277"/>
      <c r="AG402" s="277"/>
      <c r="AH402" s="277"/>
      <c r="AI402" s="277"/>
      <c r="AJ402" s="216"/>
      <c r="AK402" s="304"/>
      <c r="AL402" s="303"/>
      <c r="AM402" s="216"/>
      <c r="AN402" s="304"/>
      <c r="AO402" s="277"/>
      <c r="AP402" s="303"/>
      <c r="AQ402" s="303"/>
      <c r="AR402" s="304"/>
      <c r="AS402" s="303"/>
      <c r="AT402" s="303"/>
      <c r="AU402" s="303"/>
      <c r="AV402" s="303"/>
      <c r="AW402" s="213"/>
      <c r="AX402" s="213"/>
      <c r="AY402" s="213"/>
      <c r="AZ402" s="213"/>
      <c r="BA402" s="213"/>
      <c r="BB402" s="213"/>
      <c r="BC402" s="213"/>
      <c r="BD402" s="213"/>
      <c r="BE402" s="213"/>
      <c r="BF402" s="213"/>
      <c r="BG402" s="213"/>
      <c r="BH402" s="213"/>
      <c r="BI402" s="213"/>
      <c r="BJ402" s="213"/>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row>
    <row r="403" spans="1:243" ht="15.6">
      <c r="A403" s="170">
        <f t="shared" si="80"/>
        <v>35</v>
      </c>
      <c r="B403" s="327">
        <f t="shared" si="81"/>
        <v>316</v>
      </c>
      <c r="C403" s="908"/>
      <c r="D403" s="603">
        <f t="shared" si="78"/>
        <v>0</v>
      </c>
      <c r="E403" s="603">
        <f t="shared" si="78"/>
        <v>0</v>
      </c>
      <c r="F403" s="603">
        <f t="shared" si="78"/>
        <v>0</v>
      </c>
      <c r="G403" s="603">
        <f t="shared" si="78"/>
        <v>0</v>
      </c>
      <c r="H403" s="603">
        <f t="shared" si="78"/>
        <v>0</v>
      </c>
      <c r="I403" s="603">
        <f t="shared" si="78"/>
        <v>0</v>
      </c>
      <c r="J403" s="603">
        <f t="shared" si="78"/>
        <v>0</v>
      </c>
      <c r="K403" s="603">
        <f t="shared" si="78"/>
        <v>0</v>
      </c>
      <c r="L403" s="603">
        <f t="shared" si="78"/>
        <v>0</v>
      </c>
      <c r="M403" s="603">
        <f t="shared" si="78"/>
        <v>0</v>
      </c>
      <c r="N403" s="603">
        <f t="shared" si="78"/>
        <v>0</v>
      </c>
      <c r="O403" s="603">
        <f t="shared" si="78"/>
        <v>0</v>
      </c>
      <c r="P403" s="333">
        <f t="shared" si="79"/>
        <v>0</v>
      </c>
      <c r="S403" s="277"/>
      <c r="T403" s="277"/>
      <c r="U403" s="277"/>
      <c r="V403" s="277"/>
      <c r="W403" s="277"/>
      <c r="X403" s="277"/>
      <c r="Y403" s="277"/>
      <c r="Z403" s="277"/>
      <c r="AA403" s="277"/>
      <c r="AB403" s="277"/>
      <c r="AC403" s="277"/>
      <c r="AD403" s="277"/>
      <c r="AE403" s="277"/>
      <c r="AF403" s="277"/>
      <c r="AG403" s="277"/>
      <c r="AH403" s="277"/>
      <c r="AI403" s="277"/>
      <c r="AJ403" s="216"/>
      <c r="AK403" s="304"/>
      <c r="AL403" s="303"/>
      <c r="AM403" s="216"/>
      <c r="AN403" s="304"/>
      <c r="AO403" s="277"/>
      <c r="AP403" s="303"/>
      <c r="AQ403" s="303"/>
      <c r="AR403" s="304"/>
      <c r="AS403" s="303"/>
      <c r="AT403" s="303"/>
      <c r="AU403" s="303"/>
      <c r="AV403" s="303"/>
      <c r="AW403" s="213"/>
      <c r="AX403" s="213"/>
      <c r="AY403" s="213"/>
      <c r="AZ403" s="213"/>
      <c r="BA403" s="213"/>
      <c r="BB403" s="213"/>
      <c r="BC403" s="213"/>
      <c r="BD403" s="213"/>
      <c r="BE403" s="213"/>
      <c r="BF403" s="213"/>
      <c r="BG403" s="213"/>
      <c r="BH403" s="213"/>
      <c r="BI403" s="213"/>
      <c r="BJ403" s="21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row>
    <row r="404" spans="1:243" ht="15.6">
      <c r="A404" s="170"/>
      <c r="B404" s="287"/>
      <c r="C404" s="287"/>
      <c r="D404" s="287"/>
      <c r="E404" s="287"/>
      <c r="F404" s="287"/>
      <c r="G404" s="287"/>
      <c r="H404" s="287"/>
      <c r="I404" s="287"/>
      <c r="J404" s="287"/>
      <c r="K404" s="334"/>
      <c r="L404" s="287"/>
      <c r="M404" s="287"/>
      <c r="N404" s="287"/>
      <c r="O404" s="287"/>
      <c r="P404" s="339"/>
      <c r="S404" s="277"/>
      <c r="T404" s="277"/>
      <c r="U404" s="277"/>
      <c r="V404" s="277"/>
      <c r="W404" s="277"/>
      <c r="X404" s="277"/>
      <c r="Y404" s="277"/>
      <c r="Z404" s="277"/>
      <c r="AA404" s="277"/>
      <c r="AB404" s="277"/>
      <c r="AC404" s="277"/>
      <c r="AD404" s="277"/>
      <c r="AE404" s="277"/>
      <c r="AF404" s="277"/>
      <c r="AG404" s="277"/>
      <c r="AH404" s="277"/>
      <c r="AI404" s="277"/>
      <c r="AJ404" s="216"/>
      <c r="AK404" s="304"/>
      <c r="AL404" s="303"/>
      <c r="AM404" s="216"/>
      <c r="AN404" s="304"/>
      <c r="AO404" s="277"/>
      <c r="AP404" s="303"/>
      <c r="AQ404" s="303"/>
      <c r="AR404" s="304"/>
      <c r="AS404" s="303"/>
      <c r="AT404" s="303"/>
      <c r="AU404" s="303"/>
      <c r="AV404" s="303"/>
      <c r="AW404" s="213"/>
      <c r="AX404" s="213"/>
      <c r="AY404" s="213"/>
      <c r="AZ404" s="213"/>
      <c r="BA404" s="213"/>
      <c r="BB404" s="213"/>
      <c r="BC404" s="213"/>
      <c r="BD404" s="213"/>
      <c r="BE404" s="213"/>
      <c r="BF404" s="213"/>
      <c r="BG404" s="213"/>
      <c r="BH404" s="213"/>
      <c r="BI404" s="213"/>
      <c r="BJ404" s="213"/>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row>
    <row r="405" spans="1:243" ht="18.600000000000001">
      <c r="A405" s="355"/>
      <c r="B405" s="355" t="s">
        <v>1078</v>
      </c>
      <c r="C405" s="334" t="s">
        <v>730</v>
      </c>
      <c r="D405" s="1778" t="s">
        <v>731</v>
      </c>
      <c r="E405" s="1779"/>
      <c r="F405" s="1779"/>
      <c r="G405" s="1779"/>
      <c r="H405" s="1779"/>
      <c r="I405" s="1779"/>
      <c r="J405" s="1779"/>
      <c r="K405" s="1779"/>
      <c r="L405" s="1779"/>
      <c r="M405" s="1779"/>
      <c r="N405" s="1779"/>
      <c r="O405" s="1779"/>
      <c r="P405" s="1779"/>
      <c r="S405" s="277"/>
      <c r="T405" s="277"/>
      <c r="U405" s="277"/>
      <c r="V405" s="277"/>
      <c r="W405" s="277"/>
      <c r="X405" s="277"/>
      <c r="Y405" s="277"/>
      <c r="Z405" s="277"/>
      <c r="AA405" s="277"/>
      <c r="AB405" s="277"/>
      <c r="AC405" s="277"/>
      <c r="AD405" s="277"/>
      <c r="AE405" s="277"/>
      <c r="AF405" s="277"/>
      <c r="AG405" s="277"/>
      <c r="AH405" s="277"/>
      <c r="AI405" s="277"/>
      <c r="AJ405" s="216"/>
      <c r="AK405" s="304"/>
      <c r="AL405" s="303"/>
      <c r="AM405" s="216"/>
      <c r="AN405" s="304"/>
      <c r="AO405" s="277"/>
      <c r="AP405" s="303"/>
      <c r="AQ405" s="303"/>
      <c r="AR405" s="304"/>
      <c r="AS405" s="303"/>
      <c r="AT405" s="303"/>
      <c r="AU405" s="303"/>
      <c r="AV405" s="303"/>
      <c r="AW405" s="213"/>
      <c r="AX405" s="213"/>
      <c r="AY405" s="213"/>
      <c r="AZ405" s="213"/>
      <c r="BA405" s="213"/>
      <c r="BB405" s="213"/>
      <c r="BC405" s="213"/>
      <c r="BD405" s="213"/>
      <c r="BE405" s="213"/>
      <c r="BF405" s="213"/>
      <c r="BG405" s="213"/>
      <c r="BH405" s="213"/>
      <c r="BI405" s="213"/>
      <c r="BJ405" s="213"/>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row>
    <row r="406" spans="1:243" ht="18.600000000000001">
      <c r="A406" s="355"/>
      <c r="B406" s="322" t="s">
        <v>928</v>
      </c>
      <c r="C406" s="335" t="s">
        <v>732</v>
      </c>
      <c r="D406" s="358" t="s">
        <v>716</v>
      </c>
      <c r="E406" s="358" t="s">
        <v>717</v>
      </c>
      <c r="F406" s="358" t="s">
        <v>718</v>
      </c>
      <c r="G406" s="358" t="s">
        <v>719</v>
      </c>
      <c r="H406" s="358" t="s">
        <v>720</v>
      </c>
      <c r="I406" s="358" t="s">
        <v>721</v>
      </c>
      <c r="J406" s="358" t="s">
        <v>722</v>
      </c>
      <c r="K406" s="358" t="s">
        <v>723</v>
      </c>
      <c r="L406" s="358" t="s">
        <v>724</v>
      </c>
      <c r="M406" s="358" t="s">
        <v>725</v>
      </c>
      <c r="N406" s="358" t="s">
        <v>726</v>
      </c>
      <c r="O406" s="358" t="s">
        <v>715</v>
      </c>
      <c r="P406" s="360" t="s">
        <v>628</v>
      </c>
      <c r="S406" s="277"/>
      <c r="T406" s="277"/>
      <c r="U406" s="277"/>
      <c r="V406" s="277"/>
      <c r="W406" s="277"/>
      <c r="X406" s="277"/>
      <c r="Y406" s="277"/>
      <c r="Z406" s="277"/>
      <c r="AA406" s="277"/>
      <c r="AB406" s="277"/>
      <c r="AC406" s="277"/>
      <c r="AD406" s="277"/>
      <c r="AE406" s="277"/>
      <c r="AF406" s="277"/>
      <c r="AG406" s="277"/>
      <c r="AH406" s="277"/>
      <c r="AI406" s="277"/>
      <c r="AJ406" s="216"/>
      <c r="AK406" s="304"/>
      <c r="AL406" s="303"/>
      <c r="AM406" s="216"/>
      <c r="AN406" s="304"/>
      <c r="AO406" s="277"/>
      <c r="AP406" s="303"/>
      <c r="AQ406" s="303"/>
      <c r="AR406" s="304"/>
      <c r="AS406" s="303"/>
      <c r="AT406" s="303"/>
      <c r="AU406" s="303"/>
      <c r="AV406" s="303"/>
      <c r="AW406" s="213"/>
      <c r="AX406" s="213"/>
      <c r="AY406" s="213"/>
      <c r="AZ406" s="213"/>
      <c r="BA406" s="213"/>
      <c r="BB406" s="213"/>
      <c r="BC406" s="213"/>
      <c r="BD406" s="213"/>
      <c r="BE406" s="213"/>
      <c r="BF406" s="213"/>
      <c r="BG406" s="213"/>
      <c r="BH406" s="213"/>
      <c r="BI406" s="213"/>
      <c r="BJ406" s="213"/>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row>
    <row r="407" spans="1:243" ht="15.6">
      <c r="A407" s="170">
        <f>A403+1</f>
        <v>36</v>
      </c>
      <c r="B407" s="327">
        <f>B387</f>
        <v>311</v>
      </c>
      <c r="C407" s="907">
        <v>0</v>
      </c>
      <c r="D407" s="603">
        <f>C407+D397</f>
        <v>0</v>
      </c>
      <c r="E407" s="603">
        <f t="shared" ref="E407:O413" si="82">D407+E397</f>
        <v>0</v>
      </c>
      <c r="F407" s="603">
        <f t="shared" si="82"/>
        <v>0</v>
      </c>
      <c r="G407" s="603">
        <f t="shared" si="82"/>
        <v>0</v>
      </c>
      <c r="H407" s="603">
        <f t="shared" si="82"/>
        <v>0</v>
      </c>
      <c r="I407" s="603">
        <f t="shared" si="82"/>
        <v>0</v>
      </c>
      <c r="J407" s="603">
        <f t="shared" si="82"/>
        <v>0</v>
      </c>
      <c r="K407" s="603">
        <f t="shared" si="82"/>
        <v>0</v>
      </c>
      <c r="L407" s="603">
        <f t="shared" si="82"/>
        <v>0</v>
      </c>
      <c r="M407" s="603">
        <f t="shared" si="82"/>
        <v>0</v>
      </c>
      <c r="N407" s="603">
        <f t="shared" si="82"/>
        <v>0</v>
      </c>
      <c r="O407" s="603">
        <f t="shared" si="82"/>
        <v>0</v>
      </c>
      <c r="P407" s="333">
        <f t="shared" ref="P407:P413" si="83">O407</f>
        <v>0</v>
      </c>
      <c r="S407" s="277"/>
      <c r="T407" s="277"/>
      <c r="U407" s="277"/>
      <c r="V407" s="277"/>
      <c r="W407" s="277"/>
      <c r="X407" s="277"/>
      <c r="Y407" s="277"/>
      <c r="Z407" s="277"/>
      <c r="AA407" s="277"/>
      <c r="AB407" s="277"/>
      <c r="AC407" s="277"/>
      <c r="AD407" s="277"/>
      <c r="AE407" s="277"/>
      <c r="AF407" s="277"/>
      <c r="AG407" s="277"/>
      <c r="AH407" s="277"/>
      <c r="AI407" s="277"/>
      <c r="AJ407" s="216"/>
      <c r="AK407" s="304"/>
      <c r="AL407" s="303"/>
      <c r="AM407" s="216"/>
      <c r="AN407" s="304"/>
      <c r="AO407" s="277"/>
      <c r="AP407" s="303"/>
      <c r="AQ407" s="303"/>
      <c r="AR407" s="304"/>
      <c r="AS407" s="303"/>
      <c r="AT407" s="303"/>
      <c r="AU407" s="303"/>
      <c r="AV407" s="303"/>
      <c r="AW407" s="213"/>
      <c r="AX407" s="213"/>
      <c r="AY407" s="213"/>
      <c r="AZ407" s="213"/>
      <c r="BA407" s="213"/>
      <c r="BB407" s="213"/>
      <c r="BC407" s="213"/>
      <c r="BD407" s="213"/>
      <c r="BE407" s="213"/>
      <c r="BF407" s="213"/>
      <c r="BG407" s="213"/>
      <c r="BH407" s="213"/>
      <c r="BI407" s="213"/>
      <c r="BJ407" s="213"/>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row>
    <row r="408" spans="1:243" ht="15.6">
      <c r="A408" s="170">
        <f t="shared" ref="A408:A413" si="84">A407+1</f>
        <v>37</v>
      </c>
      <c r="B408" s="327">
        <f t="shared" ref="B408:B413" si="85">B388</f>
        <v>312</v>
      </c>
      <c r="C408" s="907">
        <v>0</v>
      </c>
      <c r="D408" s="603">
        <f t="shared" ref="D408:D413" si="86">C408+D398</f>
        <v>0</v>
      </c>
      <c r="E408" s="603">
        <f t="shared" si="82"/>
        <v>0</v>
      </c>
      <c r="F408" s="603">
        <f t="shared" si="82"/>
        <v>0</v>
      </c>
      <c r="G408" s="603">
        <f t="shared" si="82"/>
        <v>0</v>
      </c>
      <c r="H408" s="603">
        <f t="shared" si="82"/>
        <v>0</v>
      </c>
      <c r="I408" s="603">
        <f t="shared" si="82"/>
        <v>0</v>
      </c>
      <c r="J408" s="603">
        <f t="shared" si="82"/>
        <v>0</v>
      </c>
      <c r="K408" s="603">
        <f t="shared" si="82"/>
        <v>0</v>
      </c>
      <c r="L408" s="603">
        <f t="shared" si="82"/>
        <v>0</v>
      </c>
      <c r="M408" s="603">
        <f t="shared" si="82"/>
        <v>0</v>
      </c>
      <c r="N408" s="603">
        <f t="shared" si="82"/>
        <v>0</v>
      </c>
      <c r="O408" s="603">
        <f t="shared" si="82"/>
        <v>0</v>
      </c>
      <c r="P408" s="333">
        <f t="shared" si="83"/>
        <v>0</v>
      </c>
      <c r="S408" s="277"/>
      <c r="T408" s="277"/>
      <c r="U408" s="277"/>
      <c r="V408" s="277"/>
      <c r="W408" s="277"/>
      <c r="X408" s="277"/>
      <c r="Y408" s="277"/>
      <c r="Z408" s="277"/>
      <c r="AA408" s="277"/>
      <c r="AB408" s="277"/>
      <c r="AC408" s="277"/>
      <c r="AD408" s="277"/>
      <c r="AE408" s="277"/>
      <c r="AF408" s="277"/>
      <c r="AG408" s="277"/>
      <c r="AH408" s="277"/>
      <c r="AI408" s="277"/>
      <c r="AJ408" s="216"/>
      <c r="AK408" s="304"/>
      <c r="AL408" s="303"/>
      <c r="AM408" s="216"/>
      <c r="AN408" s="304"/>
      <c r="AO408" s="277"/>
      <c r="AP408" s="303"/>
      <c r="AQ408" s="303"/>
      <c r="AR408" s="304"/>
      <c r="AS408" s="303"/>
      <c r="AT408" s="303"/>
      <c r="AU408" s="303"/>
      <c r="AV408" s="303"/>
      <c r="AW408" s="213"/>
      <c r="AX408" s="213"/>
      <c r="AY408" s="213"/>
      <c r="AZ408" s="213"/>
      <c r="BA408" s="213"/>
      <c r="BB408" s="213"/>
      <c r="BC408" s="213"/>
      <c r="BD408" s="213"/>
      <c r="BE408" s="213"/>
      <c r="BF408" s="213"/>
      <c r="BG408" s="213"/>
      <c r="BH408" s="213"/>
      <c r="BI408" s="213"/>
      <c r="BJ408" s="213"/>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row>
    <row r="409" spans="1:243" ht="15.6">
      <c r="A409" s="170">
        <f t="shared" si="84"/>
        <v>38</v>
      </c>
      <c r="B409" s="327">
        <f t="shared" si="85"/>
        <v>312.10000000000002</v>
      </c>
      <c r="C409" s="907">
        <v>0</v>
      </c>
      <c r="D409" s="603">
        <f t="shared" si="86"/>
        <v>0</v>
      </c>
      <c r="E409" s="603">
        <f t="shared" si="82"/>
        <v>0</v>
      </c>
      <c r="F409" s="603">
        <f t="shared" si="82"/>
        <v>0</v>
      </c>
      <c r="G409" s="603">
        <f t="shared" si="82"/>
        <v>0</v>
      </c>
      <c r="H409" s="603">
        <f t="shared" si="82"/>
        <v>0</v>
      </c>
      <c r="I409" s="603">
        <f t="shared" si="82"/>
        <v>0</v>
      </c>
      <c r="J409" s="603">
        <f t="shared" si="82"/>
        <v>0</v>
      </c>
      <c r="K409" s="603">
        <f t="shared" si="82"/>
        <v>0</v>
      </c>
      <c r="L409" s="603">
        <f t="shared" si="82"/>
        <v>0</v>
      </c>
      <c r="M409" s="603">
        <f t="shared" si="82"/>
        <v>0</v>
      </c>
      <c r="N409" s="603">
        <f t="shared" si="82"/>
        <v>0</v>
      </c>
      <c r="O409" s="603">
        <f t="shared" si="82"/>
        <v>0</v>
      </c>
      <c r="P409" s="333">
        <f t="shared" si="83"/>
        <v>0</v>
      </c>
      <c r="S409" s="277"/>
      <c r="T409" s="277"/>
      <c r="U409" s="277"/>
      <c r="V409" s="277"/>
      <c r="W409" s="277"/>
      <c r="X409" s="277"/>
      <c r="Y409" s="277"/>
      <c r="Z409" s="277"/>
      <c r="AA409" s="277"/>
      <c r="AB409" s="277"/>
      <c r="AC409" s="277"/>
      <c r="AD409" s="277"/>
      <c r="AE409" s="277"/>
      <c r="AF409" s="277"/>
      <c r="AG409" s="277"/>
      <c r="AH409" s="277"/>
      <c r="AI409" s="277"/>
      <c r="AJ409" s="216"/>
      <c r="AK409" s="304"/>
      <c r="AL409" s="303"/>
      <c r="AM409" s="216"/>
      <c r="AN409" s="304"/>
      <c r="AO409" s="277"/>
      <c r="AP409" s="303"/>
      <c r="AQ409" s="303"/>
      <c r="AR409" s="304"/>
      <c r="AS409" s="303"/>
      <c r="AT409" s="303"/>
      <c r="AU409" s="303"/>
      <c r="AV409" s="303"/>
      <c r="AW409" s="213"/>
      <c r="AX409" s="213"/>
      <c r="AY409" s="213"/>
      <c r="AZ409" s="213"/>
      <c r="BA409" s="213"/>
      <c r="BB409" s="213"/>
      <c r="BC409" s="213"/>
      <c r="BD409" s="213"/>
      <c r="BE409" s="213"/>
      <c r="BF409" s="213"/>
      <c r="BG409" s="213"/>
      <c r="BH409" s="213"/>
      <c r="BI409" s="213"/>
      <c r="BJ409" s="213"/>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row>
    <row r="410" spans="1:243" ht="15.6">
      <c r="A410" s="170">
        <f t="shared" si="84"/>
        <v>39</v>
      </c>
      <c r="B410" s="327">
        <f t="shared" si="85"/>
        <v>312.2</v>
      </c>
      <c r="C410" s="907">
        <v>0</v>
      </c>
      <c r="D410" s="603">
        <f t="shared" si="86"/>
        <v>0</v>
      </c>
      <c r="E410" s="603">
        <f t="shared" si="82"/>
        <v>0</v>
      </c>
      <c r="F410" s="603">
        <f t="shared" si="82"/>
        <v>0</v>
      </c>
      <c r="G410" s="603">
        <f t="shared" si="82"/>
        <v>0</v>
      </c>
      <c r="H410" s="603">
        <f t="shared" si="82"/>
        <v>0</v>
      </c>
      <c r="I410" s="603">
        <f t="shared" si="82"/>
        <v>0</v>
      </c>
      <c r="J410" s="603">
        <f t="shared" si="82"/>
        <v>0</v>
      </c>
      <c r="K410" s="603">
        <f t="shared" si="82"/>
        <v>0</v>
      </c>
      <c r="L410" s="603">
        <f t="shared" si="82"/>
        <v>0</v>
      </c>
      <c r="M410" s="603">
        <f t="shared" si="82"/>
        <v>0</v>
      </c>
      <c r="N410" s="603">
        <f t="shared" si="82"/>
        <v>0</v>
      </c>
      <c r="O410" s="603">
        <f t="shared" si="82"/>
        <v>0</v>
      </c>
      <c r="P410" s="333">
        <f t="shared" si="83"/>
        <v>0</v>
      </c>
      <c r="S410" s="277"/>
      <c r="T410" s="277"/>
      <c r="U410" s="277"/>
      <c r="V410" s="277"/>
      <c r="W410" s="277"/>
      <c r="X410" s="277"/>
      <c r="Y410" s="277"/>
      <c r="Z410" s="277"/>
      <c r="AA410" s="277"/>
      <c r="AB410" s="277"/>
      <c r="AC410" s="277"/>
      <c r="AD410" s="277"/>
      <c r="AE410" s="277"/>
      <c r="AF410" s="277"/>
      <c r="AG410" s="277"/>
      <c r="AH410" s="277"/>
      <c r="AI410" s="277"/>
      <c r="AJ410" s="216"/>
      <c r="AK410" s="304"/>
      <c r="AL410" s="303"/>
      <c r="AM410" s="216"/>
      <c r="AN410" s="304"/>
      <c r="AO410" s="277"/>
      <c r="AP410" s="303"/>
      <c r="AQ410" s="303"/>
      <c r="AR410" s="304"/>
      <c r="AS410" s="303"/>
      <c r="AT410" s="303"/>
      <c r="AU410" s="303"/>
      <c r="AV410" s="303"/>
      <c r="AW410" s="213"/>
      <c r="AX410" s="213"/>
      <c r="AY410" s="213"/>
      <c r="AZ410" s="213"/>
      <c r="BA410" s="213"/>
      <c r="BB410" s="213"/>
      <c r="BC410" s="213"/>
      <c r="BD410" s="213"/>
      <c r="BE410" s="213"/>
      <c r="BF410" s="213"/>
      <c r="BG410" s="213"/>
      <c r="BH410" s="213"/>
      <c r="BI410" s="213"/>
      <c r="BJ410" s="213"/>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row>
    <row r="411" spans="1:243" ht="15.6">
      <c r="A411" s="170">
        <f t="shared" si="84"/>
        <v>40</v>
      </c>
      <c r="B411" s="327">
        <f t="shared" si="85"/>
        <v>314</v>
      </c>
      <c r="C411" s="907">
        <v>0</v>
      </c>
      <c r="D411" s="603">
        <f t="shared" si="86"/>
        <v>0</v>
      </c>
      <c r="E411" s="603">
        <f t="shared" si="82"/>
        <v>0</v>
      </c>
      <c r="F411" s="603">
        <f t="shared" si="82"/>
        <v>0</v>
      </c>
      <c r="G411" s="603">
        <f t="shared" si="82"/>
        <v>0</v>
      </c>
      <c r="H411" s="603">
        <f t="shared" si="82"/>
        <v>0</v>
      </c>
      <c r="I411" s="603">
        <f t="shared" si="82"/>
        <v>0</v>
      </c>
      <c r="J411" s="603">
        <f t="shared" si="82"/>
        <v>0</v>
      </c>
      <c r="K411" s="603">
        <f t="shared" si="82"/>
        <v>0</v>
      </c>
      <c r="L411" s="603">
        <f t="shared" si="82"/>
        <v>0</v>
      </c>
      <c r="M411" s="603">
        <f t="shared" si="82"/>
        <v>0</v>
      </c>
      <c r="N411" s="603">
        <f t="shared" si="82"/>
        <v>0</v>
      </c>
      <c r="O411" s="603">
        <f t="shared" si="82"/>
        <v>0</v>
      </c>
      <c r="P411" s="333">
        <f t="shared" si="83"/>
        <v>0</v>
      </c>
      <c r="S411" s="277"/>
      <c r="T411" s="277"/>
      <c r="U411" s="277"/>
      <c r="V411" s="277"/>
      <c r="W411" s="277"/>
      <c r="X411" s="277"/>
      <c r="Y411" s="277"/>
      <c r="Z411" s="277"/>
      <c r="AA411" s="277"/>
      <c r="AB411" s="277"/>
      <c r="AC411" s="277"/>
      <c r="AD411" s="277"/>
      <c r="AE411" s="277"/>
      <c r="AF411" s="277"/>
      <c r="AG411" s="277"/>
      <c r="AH411" s="277"/>
      <c r="AI411" s="277"/>
      <c r="AJ411" s="216"/>
      <c r="AK411" s="304"/>
      <c r="AL411" s="303"/>
      <c r="AM411" s="216"/>
      <c r="AN411" s="304"/>
      <c r="AO411" s="277"/>
      <c r="AP411" s="303"/>
      <c r="AQ411" s="303"/>
      <c r="AR411" s="304"/>
      <c r="AS411" s="303"/>
      <c r="AT411" s="303"/>
      <c r="AU411" s="303"/>
      <c r="AV411" s="303"/>
      <c r="AW411" s="213"/>
      <c r="AX411" s="213"/>
      <c r="AY411" s="213"/>
      <c r="AZ411" s="213"/>
      <c r="BA411" s="213"/>
      <c r="BB411" s="213"/>
      <c r="BC411" s="213"/>
      <c r="BD411" s="213"/>
      <c r="BE411" s="213"/>
      <c r="BF411" s="213"/>
      <c r="BG411" s="213"/>
      <c r="BH411" s="213"/>
      <c r="BI411" s="213"/>
      <c r="BJ411" s="213"/>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row>
    <row r="412" spans="1:243" ht="15.6">
      <c r="A412" s="170">
        <f t="shared" si="84"/>
        <v>41</v>
      </c>
      <c r="B412" s="327">
        <f t="shared" si="85"/>
        <v>315</v>
      </c>
      <c r="C412" s="907">
        <v>0</v>
      </c>
      <c r="D412" s="603">
        <f t="shared" si="86"/>
        <v>0</v>
      </c>
      <c r="E412" s="603">
        <f t="shared" si="82"/>
        <v>0</v>
      </c>
      <c r="F412" s="603">
        <f t="shared" si="82"/>
        <v>0</v>
      </c>
      <c r="G412" s="603">
        <f t="shared" si="82"/>
        <v>0</v>
      </c>
      <c r="H412" s="603">
        <f t="shared" si="82"/>
        <v>0</v>
      </c>
      <c r="I412" s="603">
        <f t="shared" si="82"/>
        <v>0</v>
      </c>
      <c r="J412" s="603">
        <f t="shared" si="82"/>
        <v>0</v>
      </c>
      <c r="K412" s="603">
        <f t="shared" si="82"/>
        <v>0</v>
      </c>
      <c r="L412" s="603">
        <f t="shared" si="82"/>
        <v>0</v>
      </c>
      <c r="M412" s="603">
        <f t="shared" si="82"/>
        <v>0</v>
      </c>
      <c r="N412" s="603">
        <f t="shared" si="82"/>
        <v>0</v>
      </c>
      <c r="O412" s="603">
        <f t="shared" si="82"/>
        <v>0</v>
      </c>
      <c r="P412" s="333">
        <f t="shared" si="83"/>
        <v>0</v>
      </c>
      <c r="S412" s="277"/>
      <c r="T412" s="277"/>
      <c r="U412" s="277"/>
      <c r="V412" s="277"/>
      <c r="W412" s="277"/>
      <c r="X412" s="277"/>
      <c r="Y412" s="277"/>
      <c r="Z412" s="277"/>
      <c r="AA412" s="277"/>
      <c r="AB412" s="277"/>
      <c r="AC412" s="277"/>
      <c r="AD412" s="277"/>
      <c r="AE412" s="277"/>
      <c r="AF412" s="277"/>
      <c r="AG412" s="277"/>
      <c r="AH412" s="277"/>
      <c r="AI412" s="277"/>
      <c r="AJ412" s="216"/>
      <c r="AK412" s="304"/>
      <c r="AL412" s="303"/>
      <c r="AM412" s="216"/>
      <c r="AN412" s="304"/>
      <c r="AO412" s="277"/>
      <c r="AP412" s="303"/>
      <c r="AQ412" s="303"/>
      <c r="AR412" s="304"/>
      <c r="AS412" s="303"/>
      <c r="AT412" s="303"/>
      <c r="AU412" s="303"/>
      <c r="AV412" s="303"/>
      <c r="AW412" s="213"/>
      <c r="AX412" s="213"/>
      <c r="AY412" s="213"/>
      <c r="AZ412" s="213"/>
      <c r="BA412" s="213"/>
      <c r="BB412" s="213"/>
      <c r="BC412" s="213"/>
      <c r="BD412" s="213"/>
      <c r="BE412" s="213"/>
      <c r="BF412" s="213"/>
      <c r="BG412" s="213"/>
      <c r="BH412" s="213"/>
      <c r="BI412" s="213"/>
      <c r="BJ412" s="213"/>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row>
    <row r="413" spans="1:243" ht="15.6">
      <c r="A413" s="170">
        <f t="shared" si="84"/>
        <v>42</v>
      </c>
      <c r="B413" s="327">
        <f t="shared" si="85"/>
        <v>316</v>
      </c>
      <c r="C413" s="907">
        <v>0</v>
      </c>
      <c r="D413" s="603">
        <f t="shared" si="86"/>
        <v>0</v>
      </c>
      <c r="E413" s="603">
        <f t="shared" si="82"/>
        <v>0</v>
      </c>
      <c r="F413" s="603">
        <f t="shared" si="82"/>
        <v>0</v>
      </c>
      <c r="G413" s="603">
        <f t="shared" si="82"/>
        <v>0</v>
      </c>
      <c r="H413" s="603">
        <f t="shared" si="82"/>
        <v>0</v>
      </c>
      <c r="I413" s="603">
        <f t="shared" si="82"/>
        <v>0</v>
      </c>
      <c r="J413" s="603">
        <f t="shared" si="82"/>
        <v>0</v>
      </c>
      <c r="K413" s="603">
        <f t="shared" si="82"/>
        <v>0</v>
      </c>
      <c r="L413" s="603">
        <f t="shared" si="82"/>
        <v>0</v>
      </c>
      <c r="M413" s="603">
        <f t="shared" si="82"/>
        <v>0</v>
      </c>
      <c r="N413" s="603">
        <f t="shared" si="82"/>
        <v>0</v>
      </c>
      <c r="O413" s="603">
        <f t="shared" si="82"/>
        <v>0</v>
      </c>
      <c r="P413" s="333">
        <f t="shared" si="83"/>
        <v>0</v>
      </c>
      <c r="S413" s="277"/>
      <c r="T413" s="277"/>
      <c r="U413" s="277"/>
      <c r="V413" s="277"/>
      <c r="W413" s="277"/>
      <c r="X413" s="277"/>
      <c r="Y413" s="277"/>
      <c r="Z413" s="277"/>
      <c r="AA413" s="277"/>
      <c r="AB413" s="277"/>
      <c r="AC413" s="277"/>
      <c r="AD413" s="277"/>
      <c r="AE413" s="277"/>
      <c r="AF413" s="277"/>
      <c r="AG413" s="277"/>
      <c r="AH413" s="277"/>
      <c r="AI413" s="277"/>
      <c r="AJ413" s="216"/>
      <c r="AK413" s="304"/>
      <c r="AL413" s="303"/>
      <c r="AM413" s="216"/>
      <c r="AN413" s="304"/>
      <c r="AO413" s="277"/>
      <c r="AP413" s="303"/>
      <c r="AQ413" s="303"/>
      <c r="AR413" s="304"/>
      <c r="AS413" s="303"/>
      <c r="AT413" s="303"/>
      <c r="AU413" s="303"/>
      <c r="AV413" s="303"/>
      <c r="AW413" s="213"/>
      <c r="AX413" s="213"/>
      <c r="AY413" s="213"/>
      <c r="AZ413" s="213"/>
      <c r="BA413" s="213"/>
      <c r="BB413" s="213"/>
      <c r="BC413" s="213"/>
      <c r="BD413" s="213"/>
      <c r="BE413" s="213"/>
      <c r="BF413" s="213"/>
      <c r="BG413" s="213"/>
      <c r="BH413" s="213"/>
      <c r="BI413" s="213"/>
      <c r="BJ413" s="2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row>
    <row r="414" spans="1:243" ht="15.6">
      <c r="A414" s="170"/>
      <c r="B414" s="327"/>
      <c r="C414" s="328"/>
      <c r="D414" s="328"/>
      <c r="E414" s="328"/>
      <c r="F414" s="328"/>
      <c r="G414" s="328"/>
      <c r="H414" s="328"/>
      <c r="I414" s="328"/>
      <c r="J414" s="328"/>
      <c r="K414" s="328"/>
      <c r="L414" s="328"/>
      <c r="M414" s="328"/>
      <c r="N414" s="328"/>
      <c r="O414" s="328"/>
      <c r="P414" s="333"/>
      <c r="S414" s="277"/>
      <c r="T414" s="277"/>
      <c r="U414" s="277"/>
      <c r="V414" s="277"/>
      <c r="W414" s="277"/>
      <c r="X414" s="277"/>
      <c r="Y414" s="277"/>
      <c r="Z414" s="277"/>
      <c r="AA414" s="277"/>
      <c r="AB414" s="277"/>
      <c r="AC414" s="277"/>
      <c r="AD414" s="277"/>
      <c r="AE414" s="277"/>
      <c r="AF414" s="277"/>
      <c r="AG414" s="277"/>
      <c r="AH414" s="277"/>
      <c r="AI414" s="277"/>
      <c r="AJ414" s="216"/>
      <c r="AK414" s="304"/>
      <c r="AL414" s="303"/>
      <c r="AM414" s="216"/>
      <c r="AN414" s="304"/>
      <c r="AO414" s="277"/>
      <c r="AP414" s="303"/>
      <c r="AQ414" s="303"/>
      <c r="AR414" s="304"/>
      <c r="AS414" s="303"/>
      <c r="AT414" s="303"/>
      <c r="AU414" s="303"/>
      <c r="AV414" s="303"/>
      <c r="AW414" s="213"/>
      <c r="AX414" s="213"/>
      <c r="AY414" s="213"/>
      <c r="AZ414" s="213"/>
      <c r="BA414" s="213"/>
      <c r="BB414" s="213"/>
      <c r="BC414" s="213"/>
      <c r="BD414" s="213"/>
      <c r="BE414" s="213"/>
      <c r="BF414" s="213"/>
      <c r="BG414" s="213"/>
      <c r="BH414" s="213"/>
      <c r="BI414" s="213"/>
      <c r="BJ414" s="213"/>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row>
    <row r="415" spans="1:243" s="42" customFormat="1" ht="15.6">
      <c r="A415" s="336" t="s">
        <v>713</v>
      </c>
      <c r="B415" s="336"/>
      <c r="C415" s="341" t="s">
        <v>476</v>
      </c>
      <c r="D415" s="287"/>
      <c r="E415" s="287"/>
      <c r="F415" s="287"/>
      <c r="G415" s="287"/>
      <c r="H415" s="287"/>
      <c r="I415" s="287"/>
      <c r="J415" s="287"/>
      <c r="K415" s="334"/>
      <c r="L415" s="287"/>
      <c r="M415" s="287"/>
      <c r="N415" s="287"/>
      <c r="O415" s="287"/>
      <c r="P415" s="339"/>
      <c r="Q415" s="342"/>
      <c r="R415" s="342"/>
      <c r="S415" s="343"/>
      <c r="T415" s="343"/>
      <c r="U415" s="343"/>
      <c r="V415" s="343"/>
      <c r="W415" s="343"/>
      <c r="X415" s="343"/>
      <c r="Y415" s="343"/>
      <c r="Z415" s="343"/>
      <c r="AA415" s="343"/>
      <c r="AB415" s="343"/>
      <c r="AC415" s="343"/>
      <c r="AD415" s="343"/>
      <c r="AE415" s="343"/>
      <c r="AF415" s="343"/>
      <c r="AG415" s="343"/>
      <c r="AH415" s="343"/>
      <c r="AI415" s="343"/>
      <c r="AJ415" s="344"/>
      <c r="AK415" s="345"/>
      <c r="AL415" s="346"/>
      <c r="AM415" s="344"/>
      <c r="AN415" s="345"/>
      <c r="AO415" s="343"/>
      <c r="AP415" s="346"/>
      <c r="AQ415" s="346"/>
      <c r="AR415" s="345"/>
      <c r="AS415" s="346"/>
      <c r="AT415" s="346"/>
      <c r="AU415" s="346"/>
      <c r="AV415" s="346"/>
      <c r="AW415" s="287"/>
      <c r="AX415" s="287"/>
      <c r="AY415" s="287"/>
      <c r="AZ415" s="287"/>
      <c r="BA415" s="287"/>
      <c r="BB415" s="287"/>
      <c r="BC415" s="287"/>
      <c r="BD415" s="287"/>
      <c r="BE415" s="287"/>
      <c r="BF415" s="287"/>
      <c r="BG415" s="287"/>
      <c r="BH415" s="287"/>
      <c r="BI415" s="287"/>
      <c r="BJ415" s="287"/>
    </row>
    <row r="416" spans="1:243" ht="18.600000000000001">
      <c r="A416" s="355" t="s">
        <v>494</v>
      </c>
      <c r="B416" s="355" t="s">
        <v>1078</v>
      </c>
      <c r="C416" s="334"/>
      <c r="D416" s="1778" t="s">
        <v>714</v>
      </c>
      <c r="E416" s="1779"/>
      <c r="F416" s="1779"/>
      <c r="G416" s="1779"/>
      <c r="H416" s="1779"/>
      <c r="I416" s="1779"/>
      <c r="J416" s="1779"/>
      <c r="K416" s="1779"/>
      <c r="L416" s="1779"/>
      <c r="M416" s="1779"/>
      <c r="N416" s="1779"/>
      <c r="O416" s="1779"/>
      <c r="P416" s="357"/>
      <c r="S416" s="277"/>
      <c r="T416" s="277"/>
      <c r="U416" s="277"/>
      <c r="V416" s="277"/>
      <c r="W416" s="277"/>
      <c r="X416" s="277"/>
      <c r="Y416" s="277"/>
      <c r="Z416" s="277"/>
      <c r="AA416" s="277"/>
      <c r="AB416" s="277"/>
      <c r="AC416" s="277"/>
      <c r="AD416" s="277"/>
      <c r="AE416" s="277"/>
      <c r="AF416" s="277"/>
      <c r="AG416" s="277"/>
      <c r="AH416" s="277"/>
      <c r="AI416" s="277"/>
      <c r="AJ416" s="216"/>
      <c r="AK416" s="304"/>
      <c r="AL416" s="303"/>
      <c r="AM416" s="216"/>
      <c r="AN416" s="304"/>
      <c r="AO416" s="277"/>
      <c r="AP416" s="303"/>
      <c r="AQ416" s="303"/>
      <c r="AR416" s="304"/>
      <c r="AS416" s="303"/>
      <c r="AT416" s="303"/>
      <c r="AU416" s="303"/>
      <c r="AV416" s="303"/>
      <c r="AW416" s="213"/>
      <c r="AX416" s="213"/>
      <c r="AY416" s="213"/>
      <c r="AZ416" s="213"/>
      <c r="BA416" s="213"/>
      <c r="BB416" s="213"/>
      <c r="BC416" s="213"/>
      <c r="BD416" s="213"/>
      <c r="BE416" s="213"/>
      <c r="BF416" s="213"/>
      <c r="BG416" s="213"/>
      <c r="BH416" s="213"/>
      <c r="BI416" s="213"/>
      <c r="BJ416" s="213"/>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row>
    <row r="417" spans="1:243" ht="15.6">
      <c r="A417" s="322" t="s">
        <v>928</v>
      </c>
      <c r="B417" s="322" t="s">
        <v>928</v>
      </c>
      <c r="C417" s="335"/>
      <c r="D417" s="358" t="s">
        <v>715</v>
      </c>
      <c r="E417" s="358" t="s">
        <v>716</v>
      </c>
      <c r="F417" s="358" t="s">
        <v>717</v>
      </c>
      <c r="G417" s="358" t="s">
        <v>718</v>
      </c>
      <c r="H417" s="358" t="s">
        <v>719</v>
      </c>
      <c r="I417" s="358" t="s">
        <v>720</v>
      </c>
      <c r="J417" s="358" t="s">
        <v>721</v>
      </c>
      <c r="K417" s="358" t="s">
        <v>722</v>
      </c>
      <c r="L417" s="358" t="s">
        <v>723</v>
      </c>
      <c r="M417" s="358" t="s">
        <v>724</v>
      </c>
      <c r="N417" s="358" t="s">
        <v>725</v>
      </c>
      <c r="O417" s="358" t="s">
        <v>726</v>
      </c>
      <c r="P417" s="359"/>
      <c r="S417" s="277"/>
      <c r="T417" s="277"/>
      <c r="U417" s="277"/>
      <c r="V417" s="277"/>
      <c r="W417" s="277"/>
      <c r="X417" s="277"/>
      <c r="Y417" s="277"/>
      <c r="Z417" s="277"/>
      <c r="AA417" s="277"/>
      <c r="AB417" s="277"/>
      <c r="AC417" s="277"/>
      <c r="AD417" s="277"/>
      <c r="AE417" s="277"/>
      <c r="AF417" s="277"/>
      <c r="AG417" s="277"/>
      <c r="AH417" s="277"/>
      <c r="AI417" s="277"/>
      <c r="AJ417" s="216"/>
      <c r="AK417" s="304"/>
      <c r="AL417" s="303"/>
      <c r="AM417" s="216"/>
      <c r="AN417" s="304"/>
      <c r="AO417" s="277"/>
      <c r="AP417" s="303"/>
      <c r="AQ417" s="303"/>
      <c r="AR417" s="304"/>
      <c r="AS417" s="303"/>
      <c r="AT417" s="303"/>
      <c r="AU417" s="303"/>
      <c r="AV417" s="303"/>
      <c r="AW417" s="213"/>
      <c r="AX417" s="213"/>
      <c r="AY417" s="213"/>
      <c r="AZ417" s="213"/>
      <c r="BA417" s="213"/>
      <c r="BB417" s="213"/>
      <c r="BC417" s="213"/>
      <c r="BD417" s="213"/>
      <c r="BE417" s="213"/>
      <c r="BF417" s="213"/>
      <c r="BG417" s="213"/>
      <c r="BH417" s="213"/>
      <c r="BI417" s="213"/>
      <c r="BJ417" s="213"/>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row>
    <row r="418" spans="1:243" ht="15.6">
      <c r="A418" s="170">
        <f>A413+1</f>
        <v>43</v>
      </c>
      <c r="B418" s="327">
        <v>311</v>
      </c>
      <c r="C418" s="287"/>
      <c r="D418" s="905">
        <v>0</v>
      </c>
      <c r="E418" s="905">
        <v>0</v>
      </c>
      <c r="F418" s="905">
        <v>0</v>
      </c>
      <c r="G418" s="905">
        <v>0</v>
      </c>
      <c r="H418" s="905">
        <v>0</v>
      </c>
      <c r="I418" s="905">
        <v>0</v>
      </c>
      <c r="J418" s="905">
        <v>0</v>
      </c>
      <c r="K418" s="905">
        <v>0</v>
      </c>
      <c r="L418" s="905">
        <v>0</v>
      </c>
      <c r="M418" s="905">
        <v>0</v>
      </c>
      <c r="N418" s="905">
        <v>0</v>
      </c>
      <c r="O418" s="905">
        <v>0</v>
      </c>
      <c r="P418" s="339"/>
      <c r="S418" s="277"/>
      <c r="T418" s="277"/>
      <c r="U418" s="277"/>
      <c r="V418" s="277"/>
      <c r="W418" s="277"/>
      <c r="X418" s="277"/>
      <c r="Y418" s="277"/>
      <c r="Z418" s="277"/>
      <c r="AA418" s="277"/>
      <c r="AB418" s="277"/>
      <c r="AC418" s="277"/>
      <c r="AD418" s="277"/>
      <c r="AE418" s="277"/>
      <c r="AF418" s="277"/>
      <c r="AG418" s="277"/>
      <c r="AH418" s="277"/>
      <c r="AI418" s="277"/>
      <c r="AJ418" s="216"/>
      <c r="AK418" s="304"/>
      <c r="AL418" s="303"/>
      <c r="AM418" s="216"/>
      <c r="AN418" s="304"/>
      <c r="AO418" s="277"/>
      <c r="AP418" s="303"/>
      <c r="AQ418" s="303"/>
      <c r="AR418" s="304"/>
      <c r="AS418" s="303"/>
      <c r="AT418" s="303"/>
      <c r="AU418" s="303"/>
      <c r="AV418" s="303"/>
      <c r="AW418" s="213"/>
      <c r="AX418" s="213"/>
      <c r="AY418" s="213"/>
      <c r="AZ418" s="213"/>
      <c r="BA418" s="213"/>
      <c r="BB418" s="213"/>
      <c r="BC418" s="213"/>
      <c r="BD418" s="213"/>
      <c r="BE418" s="213"/>
      <c r="BF418" s="213"/>
      <c r="BG418" s="213"/>
      <c r="BH418" s="213"/>
      <c r="BI418" s="213"/>
      <c r="BJ418" s="213"/>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row>
    <row r="419" spans="1:243" ht="15.6">
      <c r="A419" s="170">
        <f t="shared" ref="A419:A424" si="87">A418+1</f>
        <v>44</v>
      </c>
      <c r="B419" s="327">
        <v>312</v>
      </c>
      <c r="C419" s="287"/>
      <c r="D419" s="907">
        <v>0</v>
      </c>
      <c r="E419" s="907">
        <v>0</v>
      </c>
      <c r="F419" s="907">
        <v>0</v>
      </c>
      <c r="G419" s="907">
        <v>0</v>
      </c>
      <c r="H419" s="907">
        <v>0</v>
      </c>
      <c r="I419" s="907">
        <v>0</v>
      </c>
      <c r="J419" s="907">
        <v>0</v>
      </c>
      <c r="K419" s="907">
        <v>0</v>
      </c>
      <c r="L419" s="907">
        <v>0</v>
      </c>
      <c r="M419" s="907">
        <v>0</v>
      </c>
      <c r="N419" s="907">
        <v>0</v>
      </c>
      <c r="O419" s="907">
        <v>0</v>
      </c>
      <c r="P419" s="339"/>
      <c r="S419" s="277"/>
      <c r="T419" s="277"/>
      <c r="U419" s="277"/>
      <c r="V419" s="277"/>
      <c r="W419" s="277"/>
      <c r="X419" s="277"/>
      <c r="Y419" s="277"/>
      <c r="Z419" s="277"/>
      <c r="AA419" s="277"/>
      <c r="AB419" s="277"/>
      <c r="AC419" s="277"/>
      <c r="AD419" s="277"/>
      <c r="AE419" s="277"/>
      <c r="AF419" s="277"/>
      <c r="AG419" s="277"/>
      <c r="AH419" s="277"/>
      <c r="AI419" s="277"/>
      <c r="AJ419" s="216"/>
      <c r="AK419" s="304"/>
      <c r="AL419" s="303"/>
      <c r="AM419" s="216"/>
      <c r="AN419" s="304"/>
      <c r="AO419" s="277"/>
      <c r="AP419" s="303"/>
      <c r="AQ419" s="303"/>
      <c r="AR419" s="304"/>
      <c r="AS419" s="303"/>
      <c r="AT419" s="303"/>
      <c r="AU419" s="303"/>
      <c r="AV419" s="303"/>
      <c r="AW419" s="213"/>
      <c r="AX419" s="213"/>
      <c r="AY419" s="213"/>
      <c r="AZ419" s="213"/>
      <c r="BA419" s="213"/>
      <c r="BB419" s="213"/>
      <c r="BC419" s="213"/>
      <c r="BD419" s="213"/>
      <c r="BE419" s="213"/>
      <c r="BF419" s="213"/>
      <c r="BG419" s="213"/>
      <c r="BH419" s="213"/>
      <c r="BI419" s="213"/>
      <c r="BJ419" s="213"/>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row>
    <row r="420" spans="1:243" ht="15.6">
      <c r="A420" s="170">
        <f t="shared" si="87"/>
        <v>45</v>
      </c>
      <c r="B420" s="327">
        <v>312.10000000000002</v>
      </c>
      <c r="C420" s="287"/>
      <c r="D420" s="907">
        <v>0</v>
      </c>
      <c r="E420" s="907">
        <v>0</v>
      </c>
      <c r="F420" s="907">
        <v>0</v>
      </c>
      <c r="G420" s="907">
        <v>0</v>
      </c>
      <c r="H420" s="907">
        <v>0</v>
      </c>
      <c r="I420" s="907">
        <v>0</v>
      </c>
      <c r="J420" s="907">
        <v>0</v>
      </c>
      <c r="K420" s="907">
        <v>0</v>
      </c>
      <c r="L420" s="907">
        <v>0</v>
      </c>
      <c r="M420" s="907">
        <v>0</v>
      </c>
      <c r="N420" s="907">
        <v>0</v>
      </c>
      <c r="O420" s="907">
        <v>0</v>
      </c>
      <c r="P420" s="339"/>
      <c r="S420" s="277"/>
      <c r="T420" s="277"/>
      <c r="U420" s="277"/>
      <c r="V420" s="277"/>
      <c r="W420" s="277"/>
      <c r="X420" s="277"/>
      <c r="Y420" s="277"/>
      <c r="Z420" s="277"/>
      <c r="AA420" s="277"/>
      <c r="AB420" s="277"/>
      <c r="AC420" s="277"/>
      <c r="AD420" s="277"/>
      <c r="AE420" s="277"/>
      <c r="AF420" s="277"/>
      <c r="AG420" s="277"/>
      <c r="AH420" s="277"/>
      <c r="AI420" s="277"/>
      <c r="AJ420" s="216"/>
      <c r="AK420" s="304"/>
      <c r="AL420" s="303"/>
      <c r="AM420" s="216"/>
      <c r="AN420" s="304"/>
      <c r="AO420" s="277"/>
      <c r="AP420" s="303"/>
      <c r="AQ420" s="303"/>
      <c r="AR420" s="304"/>
      <c r="AS420" s="303"/>
      <c r="AT420" s="303"/>
      <c r="AU420" s="303"/>
      <c r="AV420" s="303"/>
      <c r="AW420" s="213"/>
      <c r="AX420" s="213"/>
      <c r="AY420" s="213"/>
      <c r="AZ420" s="213"/>
      <c r="BA420" s="213"/>
      <c r="BB420" s="213"/>
      <c r="BC420" s="213"/>
      <c r="BD420" s="213"/>
      <c r="BE420" s="213"/>
      <c r="BF420" s="213"/>
      <c r="BG420" s="213"/>
      <c r="BH420" s="213"/>
      <c r="BI420" s="213"/>
      <c r="BJ420" s="213"/>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row>
    <row r="421" spans="1:243" ht="15.6">
      <c r="A421" s="170">
        <f t="shared" si="87"/>
        <v>46</v>
      </c>
      <c r="B421" s="327">
        <v>312.2</v>
      </c>
      <c r="C421" s="287"/>
      <c r="D421" s="907">
        <v>0</v>
      </c>
      <c r="E421" s="907">
        <v>0</v>
      </c>
      <c r="F421" s="907">
        <v>0</v>
      </c>
      <c r="G421" s="907">
        <v>0</v>
      </c>
      <c r="H421" s="907">
        <v>0</v>
      </c>
      <c r="I421" s="907">
        <v>0</v>
      </c>
      <c r="J421" s="907">
        <v>0</v>
      </c>
      <c r="K421" s="907">
        <v>0</v>
      </c>
      <c r="L421" s="907">
        <v>0</v>
      </c>
      <c r="M421" s="907">
        <v>0</v>
      </c>
      <c r="N421" s="907">
        <v>0</v>
      </c>
      <c r="O421" s="907">
        <v>0</v>
      </c>
      <c r="P421" s="339"/>
      <c r="S421" s="277"/>
      <c r="T421" s="277"/>
      <c r="U421" s="277"/>
      <c r="V421" s="277"/>
      <c r="W421" s="277"/>
      <c r="X421" s="277"/>
      <c r="Y421" s="277"/>
      <c r="Z421" s="277"/>
      <c r="AA421" s="277"/>
      <c r="AB421" s="277"/>
      <c r="AC421" s="277"/>
      <c r="AD421" s="277"/>
      <c r="AE421" s="277"/>
      <c r="AF421" s="277"/>
      <c r="AG421" s="277"/>
      <c r="AH421" s="277"/>
      <c r="AI421" s="277"/>
      <c r="AJ421" s="216"/>
      <c r="AK421" s="304"/>
      <c r="AL421" s="303"/>
      <c r="AM421" s="216"/>
      <c r="AN421" s="304"/>
      <c r="AO421" s="277"/>
      <c r="AP421" s="303"/>
      <c r="AQ421" s="303"/>
      <c r="AR421" s="304"/>
      <c r="AS421" s="303"/>
      <c r="AT421" s="303"/>
      <c r="AU421" s="303"/>
      <c r="AV421" s="303"/>
      <c r="AW421" s="213"/>
      <c r="AX421" s="213"/>
      <c r="AY421" s="213"/>
      <c r="AZ421" s="213"/>
      <c r="BA421" s="213"/>
      <c r="BB421" s="213"/>
      <c r="BC421" s="213"/>
      <c r="BD421" s="213"/>
      <c r="BE421" s="213"/>
      <c r="BF421" s="213"/>
      <c r="BG421" s="213"/>
      <c r="BH421" s="213"/>
      <c r="BI421" s="213"/>
      <c r="BJ421" s="213"/>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row>
    <row r="422" spans="1:243" ht="15.6">
      <c r="A422" s="170">
        <f t="shared" si="87"/>
        <v>47</v>
      </c>
      <c r="B422" s="327">
        <v>314</v>
      </c>
      <c r="C422" s="287"/>
      <c r="D422" s="907">
        <v>0</v>
      </c>
      <c r="E422" s="907">
        <v>0</v>
      </c>
      <c r="F422" s="907">
        <v>0</v>
      </c>
      <c r="G422" s="907">
        <v>0</v>
      </c>
      <c r="H422" s="907">
        <v>0</v>
      </c>
      <c r="I422" s="907">
        <v>0</v>
      </c>
      <c r="J422" s="907">
        <v>0</v>
      </c>
      <c r="K422" s="907">
        <v>0</v>
      </c>
      <c r="L422" s="907">
        <v>0</v>
      </c>
      <c r="M422" s="907">
        <v>0</v>
      </c>
      <c r="N422" s="907">
        <v>0</v>
      </c>
      <c r="O422" s="907">
        <v>0</v>
      </c>
      <c r="P422" s="339"/>
      <c r="S422" s="277"/>
      <c r="T422" s="277"/>
      <c r="U422" s="277"/>
      <c r="V422" s="277"/>
      <c r="W422" s="277"/>
      <c r="X422" s="277"/>
      <c r="Y422" s="277"/>
      <c r="Z422" s="277"/>
      <c r="AA422" s="277"/>
      <c r="AB422" s="277"/>
      <c r="AC422" s="277"/>
      <c r="AD422" s="277"/>
      <c r="AE422" s="277"/>
      <c r="AF422" s="277"/>
      <c r="AG422" s="277"/>
      <c r="AH422" s="277"/>
      <c r="AI422" s="277"/>
      <c r="AJ422" s="216"/>
      <c r="AK422" s="304"/>
      <c r="AL422" s="303"/>
      <c r="AM422" s="216"/>
      <c r="AN422" s="304"/>
      <c r="AO422" s="277"/>
      <c r="AP422" s="303"/>
      <c r="AQ422" s="303"/>
      <c r="AR422" s="304"/>
      <c r="AS422" s="303"/>
      <c r="AT422" s="303"/>
      <c r="AU422" s="303"/>
      <c r="AV422" s="303"/>
      <c r="AW422" s="213"/>
      <c r="AX422" s="213"/>
      <c r="AY422" s="213"/>
      <c r="AZ422" s="213"/>
      <c r="BA422" s="213"/>
      <c r="BB422" s="213"/>
      <c r="BC422" s="213"/>
      <c r="BD422" s="213"/>
      <c r="BE422" s="213"/>
      <c r="BF422" s="213"/>
      <c r="BG422" s="213"/>
      <c r="BH422" s="213"/>
      <c r="BI422" s="213"/>
      <c r="BJ422" s="213"/>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row>
    <row r="423" spans="1:243" ht="15.6">
      <c r="A423" s="170">
        <f t="shared" si="87"/>
        <v>48</v>
      </c>
      <c r="B423" s="327">
        <v>315</v>
      </c>
      <c r="C423" s="287"/>
      <c r="D423" s="907">
        <v>0</v>
      </c>
      <c r="E423" s="907">
        <v>0</v>
      </c>
      <c r="F423" s="907">
        <v>0</v>
      </c>
      <c r="G423" s="907">
        <v>0</v>
      </c>
      <c r="H423" s="907">
        <v>0</v>
      </c>
      <c r="I423" s="907">
        <v>0</v>
      </c>
      <c r="J423" s="907">
        <v>0</v>
      </c>
      <c r="K423" s="907">
        <v>0</v>
      </c>
      <c r="L423" s="907">
        <v>0</v>
      </c>
      <c r="M423" s="907">
        <v>0</v>
      </c>
      <c r="N423" s="907">
        <v>0</v>
      </c>
      <c r="O423" s="907">
        <v>0</v>
      </c>
      <c r="P423" s="339"/>
      <c r="S423" s="277"/>
      <c r="T423" s="277"/>
      <c r="U423" s="277"/>
      <c r="V423" s="277"/>
      <c r="W423" s="277"/>
      <c r="X423" s="277"/>
      <c r="Y423" s="277"/>
      <c r="Z423" s="277"/>
      <c r="AA423" s="277"/>
      <c r="AB423" s="277"/>
      <c r="AC423" s="277"/>
      <c r="AD423" s="277"/>
      <c r="AE423" s="277"/>
      <c r="AF423" s="277"/>
      <c r="AG423" s="277"/>
      <c r="AH423" s="277"/>
      <c r="AI423" s="277"/>
      <c r="AJ423" s="216"/>
      <c r="AK423" s="304"/>
      <c r="AL423" s="303"/>
      <c r="AM423" s="216"/>
      <c r="AN423" s="304"/>
      <c r="AO423" s="277"/>
      <c r="AP423" s="303"/>
      <c r="AQ423" s="303"/>
      <c r="AR423" s="304"/>
      <c r="AS423" s="303"/>
      <c r="AT423" s="303"/>
      <c r="AU423" s="303"/>
      <c r="AV423" s="303"/>
      <c r="AW423" s="213"/>
      <c r="AX423" s="213"/>
      <c r="AY423" s="213"/>
      <c r="AZ423" s="213"/>
      <c r="BA423" s="213"/>
      <c r="BB423" s="213"/>
      <c r="BC423" s="213"/>
      <c r="BD423" s="213"/>
      <c r="BE423" s="213"/>
      <c r="BF423" s="213"/>
      <c r="BG423" s="213"/>
      <c r="BH423" s="213"/>
      <c r="BI423" s="213"/>
      <c r="BJ423" s="21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row>
    <row r="424" spans="1:243" ht="15.6">
      <c r="A424" s="170">
        <f t="shared" si="87"/>
        <v>49</v>
      </c>
      <c r="B424" s="327">
        <v>316</v>
      </c>
      <c r="C424" s="287"/>
      <c r="D424" s="907">
        <v>0</v>
      </c>
      <c r="E424" s="907">
        <v>0</v>
      </c>
      <c r="F424" s="907">
        <v>0</v>
      </c>
      <c r="G424" s="907">
        <v>0</v>
      </c>
      <c r="H424" s="907">
        <v>0</v>
      </c>
      <c r="I424" s="907">
        <v>0</v>
      </c>
      <c r="J424" s="907">
        <v>0</v>
      </c>
      <c r="K424" s="907">
        <v>0</v>
      </c>
      <c r="L424" s="907">
        <v>0</v>
      </c>
      <c r="M424" s="907">
        <v>0</v>
      </c>
      <c r="N424" s="907">
        <v>0</v>
      </c>
      <c r="O424" s="907">
        <v>0</v>
      </c>
      <c r="P424" s="339"/>
      <c r="S424" s="277"/>
      <c r="T424" s="277"/>
      <c r="U424" s="277"/>
      <c r="V424" s="277"/>
      <c r="W424" s="277"/>
      <c r="X424" s="277"/>
      <c r="Y424" s="277"/>
      <c r="Z424" s="277"/>
      <c r="AA424" s="277"/>
      <c r="AB424" s="277"/>
      <c r="AC424" s="277"/>
      <c r="AD424" s="277"/>
      <c r="AE424" s="277"/>
      <c r="AF424" s="277"/>
      <c r="AG424" s="277"/>
      <c r="AH424" s="277"/>
      <c r="AI424" s="277"/>
      <c r="AJ424" s="216"/>
      <c r="AK424" s="304"/>
      <c r="AL424" s="303"/>
      <c r="AM424" s="216"/>
      <c r="AN424" s="304"/>
      <c r="AO424" s="277"/>
      <c r="AP424" s="303"/>
      <c r="AQ424" s="303"/>
      <c r="AR424" s="304"/>
      <c r="AS424" s="303"/>
      <c r="AT424" s="303"/>
      <c r="AU424" s="303"/>
      <c r="AV424" s="303"/>
      <c r="AW424" s="213"/>
      <c r="AX424" s="213"/>
      <c r="AY424" s="213"/>
      <c r="AZ424" s="213"/>
      <c r="BA424" s="213"/>
      <c r="BB424" s="213"/>
      <c r="BC424" s="213"/>
      <c r="BD424" s="213"/>
      <c r="BE424" s="213"/>
      <c r="BF424" s="213"/>
      <c r="BG424" s="213"/>
      <c r="BH424" s="213"/>
      <c r="BI424" s="213"/>
      <c r="BJ424" s="213"/>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row>
    <row r="425" spans="1:243" ht="15.6">
      <c r="A425" s="170"/>
      <c r="B425" s="336"/>
      <c r="C425" s="287"/>
      <c r="D425" s="287"/>
      <c r="E425" s="287"/>
      <c r="F425" s="287"/>
      <c r="G425" s="287"/>
      <c r="H425" s="287"/>
      <c r="I425" s="287"/>
      <c r="J425" s="287"/>
      <c r="K425" s="334"/>
      <c r="L425" s="287"/>
      <c r="M425" s="287"/>
      <c r="N425" s="287"/>
      <c r="O425" s="287"/>
      <c r="P425" s="339"/>
      <c r="S425" s="277"/>
      <c r="T425" s="277"/>
      <c r="U425" s="277"/>
      <c r="V425" s="277"/>
      <c r="W425" s="277"/>
      <c r="X425" s="277"/>
      <c r="Y425" s="277"/>
      <c r="Z425" s="277"/>
      <c r="AA425" s="277"/>
      <c r="AB425" s="277"/>
      <c r="AC425" s="277"/>
      <c r="AD425" s="277"/>
      <c r="AE425" s="277"/>
      <c r="AF425" s="277"/>
      <c r="AG425" s="277"/>
      <c r="AH425" s="277"/>
      <c r="AI425" s="277"/>
      <c r="AJ425" s="216"/>
      <c r="AK425" s="304"/>
      <c r="AL425" s="303"/>
      <c r="AM425" s="216"/>
      <c r="AN425" s="304"/>
      <c r="AO425" s="277"/>
      <c r="AP425" s="303"/>
      <c r="AQ425" s="303"/>
      <c r="AR425" s="304"/>
      <c r="AS425" s="303"/>
      <c r="AT425" s="303"/>
      <c r="AU425" s="303"/>
      <c r="AV425" s="303"/>
      <c r="AW425" s="213"/>
      <c r="AX425" s="213"/>
      <c r="AY425" s="213"/>
      <c r="AZ425" s="213"/>
      <c r="BA425" s="213"/>
      <c r="BB425" s="213"/>
      <c r="BC425" s="213"/>
      <c r="BD425" s="213"/>
      <c r="BE425" s="213"/>
      <c r="BF425" s="213"/>
      <c r="BG425" s="213"/>
      <c r="BH425" s="213"/>
      <c r="BI425" s="213"/>
      <c r="BJ425" s="213"/>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row>
    <row r="426" spans="1:243" ht="18.600000000000001">
      <c r="A426" s="355"/>
      <c r="B426" s="355" t="s">
        <v>1078</v>
      </c>
      <c r="C426" s="334" t="s">
        <v>727</v>
      </c>
      <c r="D426" s="1778" t="s">
        <v>728</v>
      </c>
      <c r="E426" s="1779"/>
      <c r="F426" s="1779"/>
      <c r="G426" s="1779"/>
      <c r="H426" s="1779"/>
      <c r="I426" s="1779"/>
      <c r="J426" s="1779"/>
      <c r="K426" s="1779"/>
      <c r="L426" s="1779"/>
      <c r="M426" s="1779"/>
      <c r="N426" s="1779"/>
      <c r="O426" s="1779"/>
      <c r="P426" s="1779"/>
      <c r="S426" s="277"/>
      <c r="T426" s="277"/>
      <c r="U426" s="277"/>
      <c r="V426" s="277"/>
      <c r="W426" s="277"/>
      <c r="X426" s="277"/>
      <c r="Y426" s="277"/>
      <c r="Z426" s="277"/>
      <c r="AA426" s="277"/>
      <c r="AB426" s="277"/>
      <c r="AC426" s="277"/>
      <c r="AD426" s="277"/>
      <c r="AE426" s="277"/>
      <c r="AF426" s="277"/>
      <c r="AG426" s="277"/>
      <c r="AH426" s="277"/>
      <c r="AI426" s="277"/>
      <c r="AJ426" s="216"/>
      <c r="AK426" s="304"/>
      <c r="AL426" s="303"/>
      <c r="AM426" s="216"/>
      <c r="AN426" s="304"/>
      <c r="AO426" s="277"/>
      <c r="AP426" s="303"/>
      <c r="AQ426" s="303"/>
      <c r="AR426" s="304"/>
      <c r="AS426" s="303"/>
      <c r="AT426" s="303"/>
      <c r="AU426" s="303"/>
      <c r="AV426" s="303"/>
      <c r="AW426" s="213"/>
      <c r="AX426" s="213"/>
      <c r="AY426" s="213"/>
      <c r="AZ426" s="213"/>
      <c r="BA426" s="213"/>
      <c r="BB426" s="213"/>
      <c r="BC426" s="213"/>
      <c r="BD426" s="213"/>
      <c r="BE426" s="213"/>
      <c r="BF426" s="213"/>
      <c r="BG426" s="213"/>
      <c r="BH426" s="213"/>
      <c r="BI426" s="213"/>
      <c r="BJ426" s="213"/>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row>
    <row r="427" spans="1:243" ht="18.600000000000001">
      <c r="A427" s="322"/>
      <c r="B427" s="322" t="s">
        <v>928</v>
      </c>
      <c r="C427" s="335" t="s">
        <v>729</v>
      </c>
      <c r="D427" s="358" t="s">
        <v>716</v>
      </c>
      <c r="E427" s="358" t="s">
        <v>717</v>
      </c>
      <c r="F427" s="358" t="s">
        <v>718</v>
      </c>
      <c r="G427" s="358" t="s">
        <v>719</v>
      </c>
      <c r="H427" s="358" t="s">
        <v>720</v>
      </c>
      <c r="I427" s="358" t="s">
        <v>721</v>
      </c>
      <c r="J427" s="358" t="s">
        <v>722</v>
      </c>
      <c r="K427" s="358" t="s">
        <v>723</v>
      </c>
      <c r="L427" s="358" t="s">
        <v>724</v>
      </c>
      <c r="M427" s="358" t="s">
        <v>725</v>
      </c>
      <c r="N427" s="358" t="s">
        <v>726</v>
      </c>
      <c r="O427" s="358" t="s">
        <v>715</v>
      </c>
      <c r="P427" s="360" t="s">
        <v>468</v>
      </c>
      <c r="S427" s="277"/>
      <c r="T427" s="277"/>
      <c r="U427" s="277"/>
      <c r="V427" s="277"/>
      <c r="W427" s="277"/>
      <c r="X427" s="277"/>
      <c r="Y427" s="277"/>
      <c r="Z427" s="277"/>
      <c r="AA427" s="277"/>
      <c r="AB427" s="277"/>
      <c r="AC427" s="277"/>
      <c r="AD427" s="277"/>
      <c r="AE427" s="277"/>
      <c r="AF427" s="277"/>
      <c r="AG427" s="277"/>
      <c r="AH427" s="277"/>
      <c r="AI427" s="277"/>
      <c r="AJ427" s="216"/>
      <c r="AK427" s="304"/>
      <c r="AL427" s="303"/>
      <c r="AM427" s="216"/>
      <c r="AN427" s="304"/>
      <c r="AO427" s="277"/>
      <c r="AP427" s="303"/>
      <c r="AQ427" s="303"/>
      <c r="AR427" s="304"/>
      <c r="AS427" s="303"/>
      <c r="AT427" s="303"/>
      <c r="AU427" s="303"/>
      <c r="AV427" s="303"/>
      <c r="AW427" s="213"/>
      <c r="AX427" s="213"/>
      <c r="AY427" s="213"/>
      <c r="AZ427" s="213"/>
      <c r="BA427" s="213"/>
      <c r="BB427" s="213"/>
      <c r="BC427" s="213"/>
      <c r="BD427" s="213"/>
      <c r="BE427" s="213"/>
      <c r="BF427" s="213"/>
      <c r="BG427" s="213"/>
      <c r="BH427" s="213"/>
      <c r="BI427" s="213"/>
      <c r="BJ427" s="213"/>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row>
    <row r="428" spans="1:243" ht="15.6">
      <c r="A428" s="170">
        <f>A424+1</f>
        <v>50</v>
      </c>
      <c r="B428" s="327">
        <f>B418</f>
        <v>311</v>
      </c>
      <c r="C428" s="908"/>
      <c r="D428" s="603">
        <f>D418*$C428/100/12</f>
        <v>0</v>
      </c>
      <c r="E428" s="603">
        <f t="shared" ref="E428:O428" si="88">E418*$C428/100/12</f>
        <v>0</v>
      </c>
      <c r="F428" s="603">
        <f t="shared" si="88"/>
        <v>0</v>
      </c>
      <c r="G428" s="603">
        <f t="shared" si="88"/>
        <v>0</v>
      </c>
      <c r="H428" s="603">
        <f t="shared" si="88"/>
        <v>0</v>
      </c>
      <c r="I428" s="603">
        <f t="shared" si="88"/>
        <v>0</v>
      </c>
      <c r="J428" s="603">
        <f t="shared" si="88"/>
        <v>0</v>
      </c>
      <c r="K428" s="603">
        <f t="shared" si="88"/>
        <v>0</v>
      </c>
      <c r="L428" s="603">
        <f t="shared" si="88"/>
        <v>0</v>
      </c>
      <c r="M428" s="603">
        <f t="shared" si="88"/>
        <v>0</v>
      </c>
      <c r="N428" s="603">
        <f t="shared" si="88"/>
        <v>0</v>
      </c>
      <c r="O428" s="603">
        <f t="shared" si="88"/>
        <v>0</v>
      </c>
      <c r="P428" s="333">
        <f>SUM(D428:O428)</f>
        <v>0</v>
      </c>
      <c r="S428" s="277"/>
      <c r="T428" s="277"/>
      <c r="U428" s="277"/>
      <c r="V428" s="277"/>
      <c r="W428" s="277"/>
      <c r="X428" s="277"/>
      <c r="Y428" s="277"/>
      <c r="Z428" s="277"/>
      <c r="AA428" s="277"/>
      <c r="AB428" s="277"/>
      <c r="AC428" s="277"/>
      <c r="AD428" s="277"/>
      <c r="AE428" s="277"/>
      <c r="AF428" s="277"/>
      <c r="AG428" s="277"/>
      <c r="AH428" s="277"/>
      <c r="AI428" s="277"/>
      <c r="AJ428" s="216"/>
      <c r="AK428" s="304"/>
      <c r="AL428" s="303"/>
      <c r="AM428" s="216"/>
      <c r="AN428" s="304"/>
      <c r="AO428" s="277"/>
      <c r="AP428" s="303"/>
      <c r="AQ428" s="303"/>
      <c r="AR428" s="304"/>
      <c r="AS428" s="303"/>
      <c r="AT428" s="303"/>
      <c r="AU428" s="303"/>
      <c r="AV428" s="303"/>
      <c r="AW428" s="213"/>
      <c r="AX428" s="213"/>
      <c r="AY428" s="213"/>
      <c r="AZ428" s="213"/>
      <c r="BA428" s="213"/>
      <c r="BB428" s="213"/>
      <c r="BC428" s="213"/>
      <c r="BD428" s="213"/>
      <c r="BE428" s="213"/>
      <c r="BF428" s="213"/>
      <c r="BG428" s="213"/>
      <c r="BH428" s="213"/>
      <c r="BI428" s="213"/>
      <c r="BJ428" s="213"/>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row>
    <row r="429" spans="1:243" ht="15.6">
      <c r="A429" s="170">
        <f t="shared" ref="A429:A434" si="89">A428+1</f>
        <v>51</v>
      </c>
      <c r="B429" s="327">
        <f t="shared" ref="B429:B434" si="90">B419</f>
        <v>312</v>
      </c>
      <c r="C429" s="908"/>
      <c r="D429" s="603">
        <f t="shared" ref="D429:O434" si="91">D419*$C429/100/12</f>
        <v>0</v>
      </c>
      <c r="E429" s="603">
        <f t="shared" si="91"/>
        <v>0</v>
      </c>
      <c r="F429" s="603">
        <f t="shared" si="91"/>
        <v>0</v>
      </c>
      <c r="G429" s="603">
        <f t="shared" si="91"/>
        <v>0</v>
      </c>
      <c r="H429" s="603">
        <f t="shared" si="91"/>
        <v>0</v>
      </c>
      <c r="I429" s="603">
        <f t="shared" si="91"/>
        <v>0</v>
      </c>
      <c r="J429" s="603">
        <f t="shared" si="91"/>
        <v>0</v>
      </c>
      <c r="K429" s="603">
        <f t="shared" si="91"/>
        <v>0</v>
      </c>
      <c r="L429" s="603">
        <f t="shared" si="91"/>
        <v>0</v>
      </c>
      <c r="M429" s="603">
        <f t="shared" si="91"/>
        <v>0</v>
      </c>
      <c r="N429" s="603">
        <f t="shared" si="91"/>
        <v>0</v>
      </c>
      <c r="O429" s="603">
        <f t="shared" si="91"/>
        <v>0</v>
      </c>
      <c r="P429" s="333">
        <f t="shared" ref="P429:P434" si="92">SUM(D429:O429)</f>
        <v>0</v>
      </c>
      <c r="S429" s="277"/>
      <c r="T429" s="277"/>
      <c r="U429" s="277"/>
      <c r="V429" s="277"/>
      <c r="W429" s="277"/>
      <c r="X429" s="277"/>
      <c r="Y429" s="277"/>
      <c r="Z429" s="277"/>
      <c r="AA429" s="277"/>
      <c r="AB429" s="277"/>
      <c r="AC429" s="277"/>
      <c r="AD429" s="277"/>
      <c r="AE429" s="277"/>
      <c r="AF429" s="277"/>
      <c r="AG429" s="277"/>
      <c r="AH429" s="277"/>
      <c r="AI429" s="277"/>
      <c r="AJ429" s="216"/>
      <c r="AK429" s="304"/>
      <c r="AL429" s="303"/>
      <c r="AM429" s="216"/>
      <c r="AN429" s="304"/>
      <c r="AO429" s="277"/>
      <c r="AP429" s="303"/>
      <c r="AQ429" s="303"/>
      <c r="AR429" s="304"/>
      <c r="AS429" s="303"/>
      <c r="AT429" s="303"/>
      <c r="AU429" s="303"/>
      <c r="AV429" s="303"/>
      <c r="AW429" s="213"/>
      <c r="AX429" s="213"/>
      <c r="AY429" s="213"/>
      <c r="AZ429" s="213"/>
      <c r="BA429" s="213"/>
      <c r="BB429" s="213"/>
      <c r="BC429" s="213"/>
      <c r="BD429" s="213"/>
      <c r="BE429" s="213"/>
      <c r="BF429" s="213"/>
      <c r="BG429" s="213"/>
      <c r="BH429" s="213"/>
      <c r="BI429" s="213"/>
      <c r="BJ429" s="213"/>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row>
    <row r="430" spans="1:243" ht="15.6">
      <c r="A430" s="170">
        <f t="shared" si="89"/>
        <v>52</v>
      </c>
      <c r="B430" s="327">
        <f t="shared" si="90"/>
        <v>312.10000000000002</v>
      </c>
      <c r="C430" s="908"/>
      <c r="D430" s="603">
        <f t="shared" si="91"/>
        <v>0</v>
      </c>
      <c r="E430" s="603">
        <f t="shared" si="91"/>
        <v>0</v>
      </c>
      <c r="F430" s="603">
        <f t="shared" si="91"/>
        <v>0</v>
      </c>
      <c r="G430" s="603">
        <f t="shared" si="91"/>
        <v>0</v>
      </c>
      <c r="H430" s="603">
        <f t="shared" si="91"/>
        <v>0</v>
      </c>
      <c r="I430" s="603">
        <f t="shared" si="91"/>
        <v>0</v>
      </c>
      <c r="J430" s="603">
        <f t="shared" si="91"/>
        <v>0</v>
      </c>
      <c r="K430" s="603">
        <f t="shared" si="91"/>
        <v>0</v>
      </c>
      <c r="L430" s="603">
        <f t="shared" si="91"/>
        <v>0</v>
      </c>
      <c r="M430" s="603">
        <f t="shared" si="91"/>
        <v>0</v>
      </c>
      <c r="N430" s="603">
        <f t="shared" si="91"/>
        <v>0</v>
      </c>
      <c r="O430" s="603">
        <f t="shared" si="91"/>
        <v>0</v>
      </c>
      <c r="P430" s="333">
        <f t="shared" si="92"/>
        <v>0</v>
      </c>
      <c r="S430" s="277"/>
      <c r="T430" s="277"/>
      <c r="U430" s="277"/>
      <c r="V430" s="277"/>
      <c r="W430" s="277"/>
      <c r="X430" s="277"/>
      <c r="Y430" s="277"/>
      <c r="Z430" s="277"/>
      <c r="AA430" s="277"/>
      <c r="AB430" s="277"/>
      <c r="AC430" s="277"/>
      <c r="AD430" s="277"/>
      <c r="AE430" s="277"/>
      <c r="AF430" s="277"/>
      <c r="AG430" s="277"/>
      <c r="AH430" s="277"/>
      <c r="AI430" s="277"/>
      <c r="AJ430" s="216"/>
      <c r="AK430" s="304"/>
      <c r="AL430" s="303"/>
      <c r="AM430" s="216"/>
      <c r="AN430" s="304"/>
      <c r="AO430" s="277"/>
      <c r="AP430" s="303"/>
      <c r="AQ430" s="303"/>
      <c r="AR430" s="304"/>
      <c r="AS430" s="303"/>
      <c r="AT430" s="303"/>
      <c r="AU430" s="303"/>
      <c r="AV430" s="303"/>
      <c r="AW430" s="213"/>
      <c r="AX430" s="213"/>
      <c r="AY430" s="213"/>
      <c r="AZ430" s="213"/>
      <c r="BA430" s="213"/>
      <c r="BB430" s="213"/>
      <c r="BC430" s="213"/>
      <c r="BD430" s="213"/>
      <c r="BE430" s="213"/>
      <c r="BF430" s="213"/>
      <c r="BG430" s="213"/>
      <c r="BH430" s="213"/>
      <c r="BI430" s="213"/>
      <c r="BJ430" s="213"/>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row>
    <row r="431" spans="1:243" ht="15.6">
      <c r="A431" s="170">
        <f t="shared" si="89"/>
        <v>53</v>
      </c>
      <c r="B431" s="327">
        <f t="shared" si="90"/>
        <v>312.2</v>
      </c>
      <c r="C431" s="908"/>
      <c r="D431" s="603">
        <f t="shared" si="91"/>
        <v>0</v>
      </c>
      <c r="E431" s="603">
        <f t="shared" si="91"/>
        <v>0</v>
      </c>
      <c r="F431" s="603">
        <f t="shared" si="91"/>
        <v>0</v>
      </c>
      <c r="G431" s="603">
        <f t="shared" si="91"/>
        <v>0</v>
      </c>
      <c r="H431" s="603">
        <f t="shared" si="91"/>
        <v>0</v>
      </c>
      <c r="I431" s="603">
        <f t="shared" si="91"/>
        <v>0</v>
      </c>
      <c r="J431" s="603">
        <f t="shared" si="91"/>
        <v>0</v>
      </c>
      <c r="K431" s="603">
        <f t="shared" si="91"/>
        <v>0</v>
      </c>
      <c r="L431" s="603">
        <f t="shared" si="91"/>
        <v>0</v>
      </c>
      <c r="M431" s="603">
        <f t="shared" si="91"/>
        <v>0</v>
      </c>
      <c r="N431" s="603">
        <f t="shared" si="91"/>
        <v>0</v>
      </c>
      <c r="O431" s="603">
        <f t="shared" si="91"/>
        <v>0</v>
      </c>
      <c r="P431" s="333">
        <f t="shared" si="92"/>
        <v>0</v>
      </c>
      <c r="S431" s="277"/>
      <c r="T431" s="277"/>
      <c r="U431" s="277"/>
      <c r="V431" s="277"/>
      <c r="W431" s="277"/>
      <c r="X431" s="277"/>
      <c r="Y431" s="277"/>
      <c r="Z431" s="277"/>
      <c r="AA431" s="277"/>
      <c r="AB431" s="277"/>
      <c r="AC431" s="277"/>
      <c r="AD431" s="277"/>
      <c r="AE431" s="277"/>
      <c r="AF431" s="277"/>
      <c r="AG431" s="277"/>
      <c r="AH431" s="277"/>
      <c r="AI431" s="277"/>
      <c r="AJ431" s="216"/>
      <c r="AK431" s="304"/>
      <c r="AL431" s="303"/>
      <c r="AM431" s="216"/>
      <c r="AN431" s="304"/>
      <c r="AO431" s="277"/>
      <c r="AP431" s="303"/>
      <c r="AQ431" s="303"/>
      <c r="AR431" s="304"/>
      <c r="AS431" s="303"/>
      <c r="AT431" s="303"/>
      <c r="AU431" s="303"/>
      <c r="AV431" s="303"/>
      <c r="AW431" s="213"/>
      <c r="AX431" s="213"/>
      <c r="AY431" s="213"/>
      <c r="AZ431" s="213"/>
      <c r="BA431" s="213"/>
      <c r="BB431" s="213"/>
      <c r="BC431" s="213"/>
      <c r="BD431" s="213"/>
      <c r="BE431" s="213"/>
      <c r="BF431" s="213"/>
      <c r="BG431" s="213"/>
      <c r="BH431" s="213"/>
      <c r="BI431" s="213"/>
      <c r="BJ431" s="213"/>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row>
    <row r="432" spans="1:243" ht="15.6">
      <c r="A432" s="170">
        <f t="shared" si="89"/>
        <v>54</v>
      </c>
      <c r="B432" s="327">
        <f t="shared" si="90"/>
        <v>314</v>
      </c>
      <c r="C432" s="908"/>
      <c r="D432" s="603">
        <f t="shared" si="91"/>
        <v>0</v>
      </c>
      <c r="E432" s="603">
        <f t="shared" si="91"/>
        <v>0</v>
      </c>
      <c r="F432" s="603">
        <f t="shared" si="91"/>
        <v>0</v>
      </c>
      <c r="G432" s="603">
        <f t="shared" si="91"/>
        <v>0</v>
      </c>
      <c r="H432" s="603">
        <f t="shared" si="91"/>
        <v>0</v>
      </c>
      <c r="I432" s="603">
        <f t="shared" si="91"/>
        <v>0</v>
      </c>
      <c r="J432" s="603">
        <f t="shared" si="91"/>
        <v>0</v>
      </c>
      <c r="K432" s="603">
        <f t="shared" si="91"/>
        <v>0</v>
      </c>
      <c r="L432" s="603">
        <f t="shared" si="91"/>
        <v>0</v>
      </c>
      <c r="M432" s="603">
        <f t="shared" si="91"/>
        <v>0</v>
      </c>
      <c r="N432" s="603">
        <f t="shared" si="91"/>
        <v>0</v>
      </c>
      <c r="O432" s="603">
        <f t="shared" si="91"/>
        <v>0</v>
      </c>
      <c r="P432" s="333">
        <f t="shared" si="92"/>
        <v>0</v>
      </c>
      <c r="S432" s="277"/>
      <c r="T432" s="277"/>
      <c r="U432" s="277"/>
      <c r="V432" s="277"/>
      <c r="W432" s="277"/>
      <c r="X432" s="277"/>
      <c r="Y432" s="277"/>
      <c r="Z432" s="277"/>
      <c r="AA432" s="277"/>
      <c r="AB432" s="277"/>
      <c r="AC432" s="277"/>
      <c r="AD432" s="277"/>
      <c r="AE432" s="277"/>
      <c r="AF432" s="277"/>
      <c r="AG432" s="277"/>
      <c r="AH432" s="277"/>
      <c r="AI432" s="277"/>
      <c r="AJ432" s="216"/>
      <c r="AK432" s="304"/>
      <c r="AL432" s="303"/>
      <c r="AM432" s="216"/>
      <c r="AN432" s="304"/>
      <c r="AO432" s="277"/>
      <c r="AP432" s="303"/>
      <c r="AQ432" s="303"/>
      <c r="AR432" s="304"/>
      <c r="AS432" s="303"/>
      <c r="AT432" s="303"/>
      <c r="AU432" s="303"/>
      <c r="AV432" s="303"/>
      <c r="AW432" s="213"/>
      <c r="AX432" s="213"/>
      <c r="AY432" s="213"/>
      <c r="AZ432" s="213"/>
      <c r="BA432" s="213"/>
      <c r="BB432" s="213"/>
      <c r="BC432" s="213"/>
      <c r="BD432" s="213"/>
      <c r="BE432" s="213"/>
      <c r="BF432" s="213"/>
      <c r="BG432" s="213"/>
      <c r="BH432" s="213"/>
      <c r="BI432" s="213"/>
      <c r="BJ432" s="213"/>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row>
    <row r="433" spans="1:243" ht="15.6">
      <c r="A433" s="170">
        <f t="shared" si="89"/>
        <v>55</v>
      </c>
      <c r="B433" s="327">
        <f t="shared" si="90"/>
        <v>315</v>
      </c>
      <c r="C433" s="908"/>
      <c r="D433" s="603">
        <f t="shared" si="91"/>
        <v>0</v>
      </c>
      <c r="E433" s="603">
        <f t="shared" si="91"/>
        <v>0</v>
      </c>
      <c r="F433" s="603">
        <f t="shared" si="91"/>
        <v>0</v>
      </c>
      <c r="G433" s="603">
        <f t="shared" si="91"/>
        <v>0</v>
      </c>
      <c r="H433" s="603">
        <f t="shared" si="91"/>
        <v>0</v>
      </c>
      <c r="I433" s="603">
        <f t="shared" si="91"/>
        <v>0</v>
      </c>
      <c r="J433" s="603">
        <f t="shared" si="91"/>
        <v>0</v>
      </c>
      <c r="K433" s="603">
        <f t="shared" si="91"/>
        <v>0</v>
      </c>
      <c r="L433" s="603">
        <f t="shared" si="91"/>
        <v>0</v>
      </c>
      <c r="M433" s="603">
        <f t="shared" si="91"/>
        <v>0</v>
      </c>
      <c r="N433" s="603">
        <f t="shared" si="91"/>
        <v>0</v>
      </c>
      <c r="O433" s="603">
        <f t="shared" si="91"/>
        <v>0</v>
      </c>
      <c r="P433" s="333">
        <f t="shared" si="92"/>
        <v>0</v>
      </c>
      <c r="S433" s="277"/>
      <c r="T433" s="277"/>
      <c r="U433" s="277"/>
      <c r="V433" s="277"/>
      <c r="W433" s="277"/>
      <c r="X433" s="277"/>
      <c r="Y433" s="277"/>
      <c r="Z433" s="277"/>
      <c r="AA433" s="277"/>
      <c r="AB433" s="277"/>
      <c r="AC433" s="277"/>
      <c r="AD433" s="277"/>
      <c r="AE433" s="277"/>
      <c r="AF433" s="277"/>
      <c r="AG433" s="277"/>
      <c r="AH433" s="277"/>
      <c r="AI433" s="277"/>
      <c r="AJ433" s="216"/>
      <c r="AK433" s="304"/>
      <c r="AL433" s="303"/>
      <c r="AM433" s="216"/>
      <c r="AN433" s="304"/>
      <c r="AO433" s="277"/>
      <c r="AP433" s="303"/>
      <c r="AQ433" s="303"/>
      <c r="AR433" s="304"/>
      <c r="AS433" s="303"/>
      <c r="AT433" s="303"/>
      <c r="AU433" s="303"/>
      <c r="AV433" s="303"/>
      <c r="AW433" s="213"/>
      <c r="AX433" s="213"/>
      <c r="AY433" s="213"/>
      <c r="AZ433" s="213"/>
      <c r="BA433" s="213"/>
      <c r="BB433" s="213"/>
      <c r="BC433" s="213"/>
      <c r="BD433" s="213"/>
      <c r="BE433" s="213"/>
      <c r="BF433" s="213"/>
      <c r="BG433" s="213"/>
      <c r="BH433" s="213"/>
      <c r="BI433" s="213"/>
      <c r="BJ433" s="21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row>
    <row r="434" spans="1:243" ht="15.6">
      <c r="A434" s="170">
        <f t="shared" si="89"/>
        <v>56</v>
      </c>
      <c r="B434" s="327">
        <f t="shared" si="90"/>
        <v>316</v>
      </c>
      <c r="C434" s="908"/>
      <c r="D434" s="603">
        <f t="shared" si="91"/>
        <v>0</v>
      </c>
      <c r="E434" s="603">
        <f t="shared" si="91"/>
        <v>0</v>
      </c>
      <c r="F434" s="603">
        <f t="shared" si="91"/>
        <v>0</v>
      </c>
      <c r="G434" s="603">
        <f t="shared" si="91"/>
        <v>0</v>
      </c>
      <c r="H434" s="603">
        <f t="shared" si="91"/>
        <v>0</v>
      </c>
      <c r="I434" s="603">
        <f t="shared" si="91"/>
        <v>0</v>
      </c>
      <c r="J434" s="603">
        <f t="shared" si="91"/>
        <v>0</v>
      </c>
      <c r="K434" s="603">
        <f t="shared" si="91"/>
        <v>0</v>
      </c>
      <c r="L434" s="603">
        <f t="shared" si="91"/>
        <v>0</v>
      </c>
      <c r="M434" s="603">
        <f t="shared" si="91"/>
        <v>0</v>
      </c>
      <c r="N434" s="603">
        <f t="shared" si="91"/>
        <v>0</v>
      </c>
      <c r="O434" s="603">
        <f t="shared" si="91"/>
        <v>0</v>
      </c>
      <c r="P434" s="333">
        <f t="shared" si="92"/>
        <v>0</v>
      </c>
      <c r="S434" s="277"/>
      <c r="T434" s="277"/>
      <c r="U434" s="277"/>
      <c r="V434" s="277"/>
      <c r="W434" s="277"/>
      <c r="X434" s="277"/>
      <c r="Y434" s="277"/>
      <c r="Z434" s="277"/>
      <c r="AA434" s="277"/>
      <c r="AB434" s="277"/>
      <c r="AC434" s="277"/>
      <c r="AD434" s="277"/>
      <c r="AE434" s="277"/>
      <c r="AF434" s="277"/>
      <c r="AG434" s="277"/>
      <c r="AH434" s="277"/>
      <c r="AI434" s="277"/>
      <c r="AJ434" s="216"/>
      <c r="AK434" s="304"/>
      <c r="AL434" s="303"/>
      <c r="AM434" s="216"/>
      <c r="AN434" s="304"/>
      <c r="AO434" s="277"/>
      <c r="AP434" s="303"/>
      <c r="AQ434" s="303"/>
      <c r="AR434" s="304"/>
      <c r="AS434" s="303"/>
      <c r="AT434" s="303"/>
      <c r="AU434" s="303"/>
      <c r="AV434" s="303"/>
      <c r="AW434" s="213"/>
      <c r="AX434" s="213"/>
      <c r="AY434" s="213"/>
      <c r="AZ434" s="213"/>
      <c r="BA434" s="213"/>
      <c r="BB434" s="213"/>
      <c r="BC434" s="213"/>
      <c r="BD434" s="213"/>
      <c r="BE434" s="213"/>
      <c r="BF434" s="213"/>
      <c r="BG434" s="213"/>
      <c r="BH434" s="213"/>
      <c r="BI434" s="213"/>
      <c r="BJ434" s="213"/>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row>
    <row r="435" spans="1:243" ht="15.6">
      <c r="A435" s="355"/>
      <c r="B435" s="287"/>
      <c r="C435" s="287"/>
      <c r="D435" s="287"/>
      <c r="E435" s="287"/>
      <c r="F435" s="287"/>
      <c r="G435" s="287"/>
      <c r="H435" s="287"/>
      <c r="I435" s="287"/>
      <c r="J435" s="287"/>
      <c r="K435" s="334"/>
      <c r="L435" s="287"/>
      <c r="M435" s="287"/>
      <c r="N435" s="287"/>
      <c r="O435" s="287"/>
      <c r="P435" s="339"/>
      <c r="S435" s="277"/>
      <c r="T435" s="277"/>
      <c r="U435" s="277"/>
      <c r="V435" s="277"/>
      <c r="W435" s="277"/>
      <c r="X435" s="277"/>
      <c r="Y435" s="277"/>
      <c r="Z435" s="277"/>
      <c r="AA435" s="277"/>
      <c r="AB435" s="277"/>
      <c r="AC435" s="277"/>
      <c r="AD435" s="277"/>
      <c r="AE435" s="277"/>
      <c r="AF435" s="277"/>
      <c r="AG435" s="277"/>
      <c r="AH435" s="277"/>
      <c r="AI435" s="277"/>
      <c r="AJ435" s="216"/>
      <c r="AK435" s="304"/>
      <c r="AL435" s="303"/>
      <c r="AM435" s="216"/>
      <c r="AN435" s="304"/>
      <c r="AO435" s="277"/>
      <c r="AP435" s="303"/>
      <c r="AQ435" s="303"/>
      <c r="AR435" s="304"/>
      <c r="AS435" s="303"/>
      <c r="AT435" s="303"/>
      <c r="AU435" s="303"/>
      <c r="AV435" s="303"/>
      <c r="AW435" s="213"/>
      <c r="AX435" s="213"/>
      <c r="AY435" s="213"/>
      <c r="AZ435" s="213"/>
      <c r="BA435" s="213"/>
      <c r="BB435" s="213"/>
      <c r="BC435" s="213"/>
      <c r="BD435" s="213"/>
      <c r="BE435" s="213"/>
      <c r="BF435" s="213"/>
      <c r="BG435" s="213"/>
      <c r="BH435" s="213"/>
      <c r="BI435" s="213"/>
      <c r="BJ435" s="213"/>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row>
    <row r="436" spans="1:243" ht="18.600000000000001">
      <c r="A436" s="355"/>
      <c r="B436" s="355" t="s">
        <v>1078</v>
      </c>
      <c r="C436" s="334" t="s">
        <v>730</v>
      </c>
      <c r="D436" s="1778" t="s">
        <v>731</v>
      </c>
      <c r="E436" s="1779"/>
      <c r="F436" s="1779"/>
      <c r="G436" s="1779"/>
      <c r="H436" s="1779"/>
      <c r="I436" s="1779"/>
      <c r="J436" s="1779"/>
      <c r="K436" s="1779"/>
      <c r="L436" s="1779"/>
      <c r="M436" s="1779"/>
      <c r="N436" s="1779"/>
      <c r="O436" s="1779"/>
      <c r="P436" s="1779"/>
      <c r="S436" s="277"/>
      <c r="T436" s="277"/>
      <c r="U436" s="277"/>
      <c r="V436" s="277"/>
      <c r="W436" s="277"/>
      <c r="X436" s="277"/>
      <c r="Y436" s="277"/>
      <c r="Z436" s="277"/>
      <c r="AA436" s="277"/>
      <c r="AB436" s="277"/>
      <c r="AC436" s="277"/>
      <c r="AD436" s="277"/>
      <c r="AE436" s="277"/>
      <c r="AF436" s="277"/>
      <c r="AG436" s="277"/>
      <c r="AH436" s="277"/>
      <c r="AI436" s="277"/>
      <c r="AJ436" s="216"/>
      <c r="AK436" s="304"/>
      <c r="AL436" s="303"/>
      <c r="AM436" s="216"/>
      <c r="AN436" s="304"/>
      <c r="AO436" s="277"/>
      <c r="AP436" s="303"/>
      <c r="AQ436" s="303"/>
      <c r="AR436" s="304"/>
      <c r="AS436" s="303"/>
      <c r="AT436" s="303"/>
      <c r="AU436" s="303"/>
      <c r="AV436" s="303"/>
      <c r="AW436" s="213"/>
      <c r="AX436" s="213"/>
      <c r="AY436" s="213"/>
      <c r="AZ436" s="213"/>
      <c r="BA436" s="213"/>
      <c r="BB436" s="213"/>
      <c r="BC436" s="213"/>
      <c r="BD436" s="213"/>
      <c r="BE436" s="213"/>
      <c r="BF436" s="213"/>
      <c r="BG436" s="213"/>
      <c r="BH436" s="213"/>
      <c r="BI436" s="213"/>
      <c r="BJ436" s="213"/>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row>
    <row r="437" spans="1:243" ht="18.600000000000001">
      <c r="A437" s="355"/>
      <c r="B437" s="322" t="s">
        <v>928</v>
      </c>
      <c r="C437" s="335" t="s">
        <v>732</v>
      </c>
      <c r="D437" s="358" t="s">
        <v>716</v>
      </c>
      <c r="E437" s="358" t="s">
        <v>717</v>
      </c>
      <c r="F437" s="358" t="s">
        <v>718</v>
      </c>
      <c r="G437" s="358" t="s">
        <v>719</v>
      </c>
      <c r="H437" s="358" t="s">
        <v>720</v>
      </c>
      <c r="I437" s="358" t="s">
        <v>721</v>
      </c>
      <c r="J437" s="358" t="s">
        <v>722</v>
      </c>
      <c r="K437" s="358" t="s">
        <v>723</v>
      </c>
      <c r="L437" s="358" t="s">
        <v>724</v>
      </c>
      <c r="M437" s="358" t="s">
        <v>725</v>
      </c>
      <c r="N437" s="358" t="s">
        <v>726</v>
      </c>
      <c r="O437" s="358" t="s">
        <v>715</v>
      </c>
      <c r="P437" s="360" t="s">
        <v>628</v>
      </c>
      <c r="S437" s="277"/>
      <c r="T437" s="277"/>
      <c r="U437" s="277"/>
      <c r="V437" s="277"/>
      <c r="W437" s="277"/>
      <c r="X437" s="277"/>
      <c r="Y437" s="277"/>
      <c r="Z437" s="277"/>
      <c r="AA437" s="277"/>
      <c r="AB437" s="277"/>
      <c r="AC437" s="277"/>
      <c r="AD437" s="277"/>
      <c r="AE437" s="277"/>
      <c r="AF437" s="277"/>
      <c r="AG437" s="277"/>
      <c r="AH437" s="277"/>
      <c r="AI437" s="277"/>
      <c r="AJ437" s="216"/>
      <c r="AK437" s="304"/>
      <c r="AL437" s="303"/>
      <c r="AM437" s="216"/>
      <c r="AN437" s="304"/>
      <c r="AO437" s="277"/>
      <c r="AP437" s="303"/>
      <c r="AQ437" s="303"/>
      <c r="AR437" s="304"/>
      <c r="AS437" s="303"/>
      <c r="AT437" s="303"/>
      <c r="AU437" s="303"/>
      <c r="AV437" s="303"/>
      <c r="AW437" s="213"/>
      <c r="AX437" s="213"/>
      <c r="AY437" s="213"/>
      <c r="AZ437" s="213"/>
      <c r="BA437" s="213"/>
      <c r="BB437" s="213"/>
      <c r="BC437" s="213"/>
      <c r="BD437" s="213"/>
      <c r="BE437" s="213"/>
      <c r="BF437" s="213"/>
      <c r="BG437" s="213"/>
      <c r="BH437" s="213"/>
      <c r="BI437" s="213"/>
      <c r="BJ437" s="213"/>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row>
    <row r="438" spans="1:243" ht="15.6">
      <c r="A438" s="170">
        <f>A434+1</f>
        <v>57</v>
      </c>
      <c r="B438" s="327">
        <f>B418</f>
        <v>311</v>
      </c>
      <c r="C438" s="907">
        <v>0</v>
      </c>
      <c r="D438" s="603">
        <f t="shared" ref="D438:O444" si="93">C438+D428</f>
        <v>0</v>
      </c>
      <c r="E438" s="603">
        <f t="shared" si="93"/>
        <v>0</v>
      </c>
      <c r="F438" s="603">
        <f t="shared" si="93"/>
        <v>0</v>
      </c>
      <c r="G438" s="603">
        <f t="shared" si="93"/>
        <v>0</v>
      </c>
      <c r="H438" s="603">
        <f t="shared" si="93"/>
        <v>0</v>
      </c>
      <c r="I438" s="603">
        <f t="shared" si="93"/>
        <v>0</v>
      </c>
      <c r="J438" s="603">
        <f t="shared" si="93"/>
        <v>0</v>
      </c>
      <c r="K438" s="603">
        <f t="shared" si="93"/>
        <v>0</v>
      </c>
      <c r="L438" s="603">
        <f t="shared" si="93"/>
        <v>0</v>
      </c>
      <c r="M438" s="603">
        <f t="shared" si="93"/>
        <v>0</v>
      </c>
      <c r="N438" s="603">
        <f t="shared" si="93"/>
        <v>0</v>
      </c>
      <c r="O438" s="603">
        <f t="shared" si="93"/>
        <v>0</v>
      </c>
      <c r="P438" s="333">
        <f>O438</f>
        <v>0</v>
      </c>
      <c r="S438" s="277"/>
      <c r="T438" s="277"/>
      <c r="U438" s="277"/>
      <c r="V438" s="277"/>
      <c r="W438" s="277"/>
      <c r="X438" s="277"/>
      <c r="Y438" s="277"/>
      <c r="Z438" s="277"/>
      <c r="AA438" s="277"/>
      <c r="AB438" s="277"/>
      <c r="AC438" s="277"/>
      <c r="AD438" s="277"/>
      <c r="AE438" s="277"/>
      <c r="AF438" s="277"/>
      <c r="AG438" s="277"/>
      <c r="AH438" s="277"/>
      <c r="AI438" s="277"/>
      <c r="AJ438" s="216"/>
      <c r="AK438" s="304"/>
      <c r="AL438" s="303"/>
      <c r="AM438" s="216"/>
      <c r="AN438" s="304"/>
      <c r="AO438" s="277"/>
      <c r="AP438" s="303"/>
      <c r="AQ438" s="303"/>
      <c r="AR438" s="304"/>
      <c r="AS438" s="303"/>
      <c r="AT438" s="303"/>
      <c r="AU438" s="303"/>
      <c r="AV438" s="303"/>
      <c r="AW438" s="213"/>
      <c r="AX438" s="213"/>
      <c r="AY438" s="213"/>
      <c r="AZ438" s="213"/>
      <c r="BA438" s="213"/>
      <c r="BB438" s="213"/>
      <c r="BC438" s="213"/>
      <c r="BD438" s="213"/>
      <c r="BE438" s="213"/>
      <c r="BF438" s="213"/>
      <c r="BG438" s="213"/>
      <c r="BH438" s="213"/>
      <c r="BI438" s="213"/>
      <c r="BJ438" s="213"/>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row>
    <row r="439" spans="1:243" ht="15.6">
      <c r="A439" s="170">
        <f t="shared" ref="A439:A444" si="94">A438+1</f>
        <v>58</v>
      </c>
      <c r="B439" s="327">
        <f t="shared" ref="B439:B444" si="95">B419</f>
        <v>312</v>
      </c>
      <c r="C439" s="907">
        <v>0</v>
      </c>
      <c r="D439" s="603">
        <f t="shared" si="93"/>
        <v>0</v>
      </c>
      <c r="E439" s="603">
        <f t="shared" si="93"/>
        <v>0</v>
      </c>
      <c r="F439" s="603">
        <f t="shared" si="93"/>
        <v>0</v>
      </c>
      <c r="G439" s="603">
        <f t="shared" si="93"/>
        <v>0</v>
      </c>
      <c r="H439" s="603">
        <f t="shared" si="93"/>
        <v>0</v>
      </c>
      <c r="I439" s="603">
        <f t="shared" si="93"/>
        <v>0</v>
      </c>
      <c r="J439" s="603">
        <f t="shared" si="93"/>
        <v>0</v>
      </c>
      <c r="K439" s="603">
        <f t="shared" si="93"/>
        <v>0</v>
      </c>
      <c r="L439" s="603">
        <f t="shared" si="93"/>
        <v>0</v>
      </c>
      <c r="M439" s="603">
        <f t="shared" si="93"/>
        <v>0</v>
      </c>
      <c r="N439" s="603">
        <f t="shared" si="93"/>
        <v>0</v>
      </c>
      <c r="O439" s="603">
        <f t="shared" si="93"/>
        <v>0</v>
      </c>
      <c r="P439" s="333">
        <f t="shared" ref="P439:P444" si="96">O439</f>
        <v>0</v>
      </c>
      <c r="S439" s="277"/>
      <c r="T439" s="277"/>
      <c r="U439" s="277"/>
      <c r="V439" s="277"/>
      <c r="W439" s="277"/>
      <c r="X439" s="277"/>
      <c r="Y439" s="277"/>
      <c r="Z439" s="277"/>
      <c r="AA439" s="277"/>
      <c r="AB439" s="277"/>
      <c r="AC439" s="277"/>
      <c r="AD439" s="277"/>
      <c r="AE439" s="277"/>
      <c r="AF439" s="277"/>
      <c r="AG439" s="277"/>
      <c r="AH439" s="277"/>
      <c r="AI439" s="277"/>
      <c r="AJ439" s="216"/>
      <c r="AK439" s="304"/>
      <c r="AL439" s="303"/>
      <c r="AM439" s="216"/>
      <c r="AN439" s="304"/>
      <c r="AO439" s="277"/>
      <c r="AP439" s="303"/>
      <c r="AQ439" s="303"/>
      <c r="AR439" s="304"/>
      <c r="AS439" s="303"/>
      <c r="AT439" s="303"/>
      <c r="AU439" s="303"/>
      <c r="AV439" s="303"/>
      <c r="AW439" s="213"/>
      <c r="AX439" s="213"/>
      <c r="AY439" s="213"/>
      <c r="AZ439" s="213"/>
      <c r="BA439" s="213"/>
      <c r="BB439" s="213"/>
      <c r="BC439" s="213"/>
      <c r="BD439" s="213"/>
      <c r="BE439" s="213"/>
      <c r="BF439" s="213"/>
      <c r="BG439" s="213"/>
      <c r="BH439" s="213"/>
      <c r="BI439" s="213"/>
      <c r="BJ439" s="213"/>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row>
    <row r="440" spans="1:243" ht="15.6">
      <c r="A440" s="170">
        <f t="shared" si="94"/>
        <v>59</v>
      </c>
      <c r="B440" s="327">
        <f t="shared" si="95"/>
        <v>312.10000000000002</v>
      </c>
      <c r="C440" s="907">
        <v>0</v>
      </c>
      <c r="D440" s="603">
        <f t="shared" si="93"/>
        <v>0</v>
      </c>
      <c r="E440" s="603">
        <f t="shared" si="93"/>
        <v>0</v>
      </c>
      <c r="F440" s="603">
        <f t="shared" si="93"/>
        <v>0</v>
      </c>
      <c r="G440" s="603">
        <f t="shared" si="93"/>
        <v>0</v>
      </c>
      <c r="H440" s="603">
        <f t="shared" si="93"/>
        <v>0</v>
      </c>
      <c r="I440" s="603">
        <f t="shared" si="93"/>
        <v>0</v>
      </c>
      <c r="J440" s="603">
        <f t="shared" si="93"/>
        <v>0</v>
      </c>
      <c r="K440" s="603">
        <f t="shared" si="93"/>
        <v>0</v>
      </c>
      <c r="L440" s="603">
        <f t="shared" si="93"/>
        <v>0</v>
      </c>
      <c r="M440" s="603">
        <f t="shared" si="93"/>
        <v>0</v>
      </c>
      <c r="N440" s="603">
        <f t="shared" si="93"/>
        <v>0</v>
      </c>
      <c r="O440" s="603">
        <f t="shared" si="93"/>
        <v>0</v>
      </c>
      <c r="P440" s="333">
        <f t="shared" si="96"/>
        <v>0</v>
      </c>
      <c r="S440" s="277"/>
      <c r="T440" s="277"/>
      <c r="U440" s="277"/>
      <c r="V440" s="277"/>
      <c r="W440" s="277"/>
      <c r="X440" s="277"/>
      <c r="Y440" s="277"/>
      <c r="Z440" s="277"/>
      <c r="AA440" s="277"/>
      <c r="AB440" s="277"/>
      <c r="AC440" s="277"/>
      <c r="AD440" s="277"/>
      <c r="AE440" s="277"/>
      <c r="AF440" s="277"/>
      <c r="AG440" s="277"/>
      <c r="AH440" s="277"/>
      <c r="AI440" s="277"/>
      <c r="AJ440" s="216"/>
      <c r="AK440" s="304"/>
      <c r="AL440" s="303"/>
      <c r="AM440" s="216"/>
      <c r="AN440" s="304"/>
      <c r="AO440" s="277"/>
      <c r="AP440" s="303"/>
      <c r="AQ440" s="303"/>
      <c r="AR440" s="304"/>
      <c r="AS440" s="303"/>
      <c r="AT440" s="303"/>
      <c r="AU440" s="303"/>
      <c r="AV440" s="303"/>
      <c r="AW440" s="213"/>
      <c r="AX440" s="213"/>
      <c r="AY440" s="213"/>
      <c r="AZ440" s="213"/>
      <c r="BA440" s="213"/>
      <c r="BB440" s="213"/>
      <c r="BC440" s="213"/>
      <c r="BD440" s="213"/>
      <c r="BE440" s="213"/>
      <c r="BF440" s="213"/>
      <c r="BG440" s="213"/>
      <c r="BH440" s="213"/>
      <c r="BI440" s="213"/>
      <c r="BJ440" s="213"/>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row>
    <row r="441" spans="1:243" ht="15.6">
      <c r="A441" s="170">
        <f t="shared" si="94"/>
        <v>60</v>
      </c>
      <c r="B441" s="327">
        <f t="shared" si="95"/>
        <v>312.2</v>
      </c>
      <c r="C441" s="907">
        <v>0</v>
      </c>
      <c r="D441" s="603">
        <f t="shared" si="93"/>
        <v>0</v>
      </c>
      <c r="E441" s="603">
        <f t="shared" si="93"/>
        <v>0</v>
      </c>
      <c r="F441" s="603">
        <f t="shared" si="93"/>
        <v>0</v>
      </c>
      <c r="G441" s="603">
        <f t="shared" si="93"/>
        <v>0</v>
      </c>
      <c r="H441" s="603">
        <f t="shared" si="93"/>
        <v>0</v>
      </c>
      <c r="I441" s="603">
        <f t="shared" si="93"/>
        <v>0</v>
      </c>
      <c r="J441" s="603">
        <f t="shared" si="93"/>
        <v>0</v>
      </c>
      <c r="K441" s="603">
        <f t="shared" si="93"/>
        <v>0</v>
      </c>
      <c r="L441" s="603">
        <f t="shared" si="93"/>
        <v>0</v>
      </c>
      <c r="M441" s="603">
        <f t="shared" si="93"/>
        <v>0</v>
      </c>
      <c r="N441" s="603">
        <f t="shared" si="93"/>
        <v>0</v>
      </c>
      <c r="O441" s="603">
        <f t="shared" si="93"/>
        <v>0</v>
      </c>
      <c r="P441" s="333">
        <f t="shared" si="96"/>
        <v>0</v>
      </c>
      <c r="S441" s="277"/>
      <c r="T441" s="277"/>
      <c r="U441" s="277"/>
      <c r="V441" s="277"/>
      <c r="W441" s="277"/>
      <c r="X441" s="277"/>
      <c r="Y441" s="277"/>
      <c r="Z441" s="277"/>
      <c r="AA441" s="277"/>
      <c r="AB441" s="277"/>
      <c r="AC441" s="277"/>
      <c r="AD441" s="277"/>
      <c r="AE441" s="277"/>
      <c r="AF441" s="277"/>
      <c r="AG441" s="277"/>
      <c r="AH441" s="277"/>
      <c r="AI441" s="277"/>
      <c r="AJ441" s="216"/>
      <c r="AK441" s="304"/>
      <c r="AL441" s="303"/>
      <c r="AM441" s="216"/>
      <c r="AN441" s="304"/>
      <c r="AO441" s="277"/>
      <c r="AP441" s="303"/>
      <c r="AQ441" s="303"/>
      <c r="AR441" s="304"/>
      <c r="AS441" s="303"/>
      <c r="AT441" s="303"/>
      <c r="AU441" s="303"/>
      <c r="AV441" s="303"/>
      <c r="AW441" s="213"/>
      <c r="AX441" s="213"/>
      <c r="AY441" s="213"/>
      <c r="AZ441" s="213"/>
      <c r="BA441" s="213"/>
      <c r="BB441" s="213"/>
      <c r="BC441" s="213"/>
      <c r="BD441" s="213"/>
      <c r="BE441" s="213"/>
      <c r="BF441" s="213"/>
      <c r="BG441" s="213"/>
      <c r="BH441" s="213"/>
      <c r="BI441" s="213"/>
      <c r="BJ441" s="213"/>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row>
    <row r="442" spans="1:243" ht="15.6">
      <c r="A442" s="170">
        <f t="shared" si="94"/>
        <v>61</v>
      </c>
      <c r="B442" s="327">
        <f t="shared" si="95"/>
        <v>314</v>
      </c>
      <c r="C442" s="907">
        <v>0</v>
      </c>
      <c r="D442" s="603">
        <f t="shared" si="93"/>
        <v>0</v>
      </c>
      <c r="E442" s="603">
        <f t="shared" si="93"/>
        <v>0</v>
      </c>
      <c r="F442" s="603">
        <f t="shared" si="93"/>
        <v>0</v>
      </c>
      <c r="G442" s="603">
        <f t="shared" si="93"/>
        <v>0</v>
      </c>
      <c r="H442" s="603">
        <f t="shared" si="93"/>
        <v>0</v>
      </c>
      <c r="I442" s="603">
        <f t="shared" si="93"/>
        <v>0</v>
      </c>
      <c r="J442" s="603">
        <f t="shared" si="93"/>
        <v>0</v>
      </c>
      <c r="K442" s="603">
        <f t="shared" si="93"/>
        <v>0</v>
      </c>
      <c r="L442" s="603">
        <f t="shared" si="93"/>
        <v>0</v>
      </c>
      <c r="M442" s="603">
        <f t="shared" si="93"/>
        <v>0</v>
      </c>
      <c r="N442" s="603">
        <f t="shared" si="93"/>
        <v>0</v>
      </c>
      <c r="O442" s="603">
        <f t="shared" si="93"/>
        <v>0</v>
      </c>
      <c r="P442" s="333">
        <f t="shared" si="96"/>
        <v>0</v>
      </c>
      <c r="S442" s="277"/>
      <c r="T442" s="277"/>
      <c r="U442" s="277"/>
      <c r="V442" s="277"/>
      <c r="W442" s="277"/>
      <c r="X442" s="277"/>
      <c r="Y442" s="277"/>
      <c r="Z442" s="277"/>
      <c r="AA442" s="277"/>
      <c r="AB442" s="277"/>
      <c r="AC442" s="277"/>
      <c r="AD442" s="277"/>
      <c r="AE442" s="277"/>
      <c r="AF442" s="277"/>
      <c r="AG442" s="277"/>
      <c r="AH442" s="277"/>
      <c r="AI442" s="277"/>
      <c r="AJ442" s="216"/>
      <c r="AK442" s="304"/>
      <c r="AL442" s="303"/>
      <c r="AM442" s="216"/>
      <c r="AN442" s="304"/>
      <c r="AO442" s="277"/>
      <c r="AP442" s="303"/>
      <c r="AQ442" s="303"/>
      <c r="AR442" s="304"/>
      <c r="AS442" s="303"/>
      <c r="AT442" s="303"/>
      <c r="AU442" s="303"/>
      <c r="AV442" s="303"/>
      <c r="AW442" s="213"/>
      <c r="AX442" s="213"/>
      <c r="AY442" s="213"/>
      <c r="AZ442" s="213"/>
      <c r="BA442" s="213"/>
      <c r="BB442" s="213"/>
      <c r="BC442" s="213"/>
      <c r="BD442" s="213"/>
      <c r="BE442" s="213"/>
      <c r="BF442" s="213"/>
      <c r="BG442" s="213"/>
      <c r="BH442" s="213"/>
      <c r="BI442" s="213"/>
      <c r="BJ442" s="213"/>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row>
    <row r="443" spans="1:243" ht="15.6">
      <c r="A443" s="170">
        <f t="shared" si="94"/>
        <v>62</v>
      </c>
      <c r="B443" s="327">
        <f t="shared" si="95"/>
        <v>315</v>
      </c>
      <c r="C443" s="907">
        <v>0</v>
      </c>
      <c r="D443" s="603">
        <f t="shared" si="93"/>
        <v>0</v>
      </c>
      <c r="E443" s="603">
        <f t="shared" si="93"/>
        <v>0</v>
      </c>
      <c r="F443" s="603">
        <f t="shared" si="93"/>
        <v>0</v>
      </c>
      <c r="G443" s="603">
        <f t="shared" si="93"/>
        <v>0</v>
      </c>
      <c r="H443" s="603">
        <f t="shared" si="93"/>
        <v>0</v>
      </c>
      <c r="I443" s="603">
        <f t="shared" si="93"/>
        <v>0</v>
      </c>
      <c r="J443" s="603">
        <f t="shared" si="93"/>
        <v>0</v>
      </c>
      <c r="K443" s="603">
        <f t="shared" si="93"/>
        <v>0</v>
      </c>
      <c r="L443" s="603">
        <f t="shared" si="93"/>
        <v>0</v>
      </c>
      <c r="M443" s="603">
        <f t="shared" si="93"/>
        <v>0</v>
      </c>
      <c r="N443" s="603">
        <f t="shared" si="93"/>
        <v>0</v>
      </c>
      <c r="O443" s="603">
        <f t="shared" si="93"/>
        <v>0</v>
      </c>
      <c r="P443" s="333">
        <f t="shared" si="96"/>
        <v>0</v>
      </c>
      <c r="S443" s="277"/>
      <c r="T443" s="277"/>
      <c r="U443" s="277"/>
      <c r="V443" s="277"/>
      <c r="W443" s="277"/>
      <c r="X443" s="277"/>
      <c r="Y443" s="277"/>
      <c r="Z443" s="277"/>
      <c r="AA443" s="277"/>
      <c r="AB443" s="277"/>
      <c r="AC443" s="277"/>
      <c r="AD443" s="277"/>
      <c r="AE443" s="277"/>
      <c r="AF443" s="277"/>
      <c r="AG443" s="277"/>
      <c r="AH443" s="277"/>
      <c r="AI443" s="277"/>
      <c r="AJ443" s="216"/>
      <c r="AK443" s="304"/>
      <c r="AL443" s="303"/>
      <c r="AM443" s="216"/>
      <c r="AN443" s="304"/>
      <c r="AO443" s="277"/>
      <c r="AP443" s="303"/>
      <c r="AQ443" s="303"/>
      <c r="AR443" s="304"/>
      <c r="AS443" s="303"/>
      <c r="AT443" s="303"/>
      <c r="AU443" s="303"/>
      <c r="AV443" s="303"/>
      <c r="AW443" s="213"/>
      <c r="AX443" s="213"/>
      <c r="AY443" s="213"/>
      <c r="AZ443" s="213"/>
      <c r="BA443" s="213"/>
      <c r="BB443" s="213"/>
      <c r="BC443" s="213"/>
      <c r="BD443" s="213"/>
      <c r="BE443" s="213"/>
      <c r="BF443" s="213"/>
      <c r="BG443" s="213"/>
      <c r="BH443" s="213"/>
      <c r="BI443" s="213"/>
      <c r="BJ443" s="21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row>
    <row r="444" spans="1:243" ht="15.6">
      <c r="A444" s="170">
        <f t="shared" si="94"/>
        <v>63</v>
      </c>
      <c r="B444" s="327">
        <f t="shared" si="95"/>
        <v>316</v>
      </c>
      <c r="C444" s="907">
        <v>0</v>
      </c>
      <c r="D444" s="603">
        <f t="shared" si="93"/>
        <v>0</v>
      </c>
      <c r="E444" s="603">
        <f t="shared" si="93"/>
        <v>0</v>
      </c>
      <c r="F444" s="603">
        <f t="shared" si="93"/>
        <v>0</v>
      </c>
      <c r="G444" s="603">
        <f t="shared" si="93"/>
        <v>0</v>
      </c>
      <c r="H444" s="603">
        <f t="shared" si="93"/>
        <v>0</v>
      </c>
      <c r="I444" s="603">
        <f t="shared" si="93"/>
        <v>0</v>
      </c>
      <c r="J444" s="603">
        <f t="shared" si="93"/>
        <v>0</v>
      </c>
      <c r="K444" s="603">
        <f t="shared" si="93"/>
        <v>0</v>
      </c>
      <c r="L444" s="603">
        <f t="shared" si="93"/>
        <v>0</v>
      </c>
      <c r="M444" s="603">
        <f t="shared" si="93"/>
        <v>0</v>
      </c>
      <c r="N444" s="603">
        <f t="shared" si="93"/>
        <v>0</v>
      </c>
      <c r="O444" s="603">
        <f t="shared" si="93"/>
        <v>0</v>
      </c>
      <c r="P444" s="333">
        <f t="shared" si="96"/>
        <v>0</v>
      </c>
      <c r="S444" s="277"/>
      <c r="T444" s="277"/>
      <c r="U444" s="277"/>
      <c r="V444" s="277"/>
      <c r="W444" s="277"/>
      <c r="X444" s="277"/>
      <c r="Y444" s="277"/>
      <c r="Z444" s="277"/>
      <c r="AA444" s="277"/>
      <c r="AB444" s="277"/>
      <c r="AC444" s="277"/>
      <c r="AD444" s="277"/>
      <c r="AE444" s="277"/>
      <c r="AF444" s="277"/>
      <c r="AG444" s="277"/>
      <c r="AH444" s="277"/>
      <c r="AI444" s="277"/>
      <c r="AJ444" s="216"/>
      <c r="AK444" s="304"/>
      <c r="AL444" s="303"/>
      <c r="AM444" s="216"/>
      <c r="AN444" s="304"/>
      <c r="AO444" s="277"/>
      <c r="AP444" s="303"/>
      <c r="AQ444" s="303"/>
      <c r="AR444" s="304"/>
      <c r="AS444" s="303"/>
      <c r="AT444" s="303"/>
      <c r="AU444" s="303"/>
      <c r="AV444" s="303"/>
      <c r="AW444" s="213"/>
      <c r="AX444" s="213"/>
      <c r="AY444" s="213"/>
      <c r="AZ444" s="213"/>
      <c r="BA444" s="213"/>
      <c r="BB444" s="213"/>
      <c r="BC444" s="213"/>
      <c r="BD444" s="213"/>
      <c r="BE444" s="213"/>
      <c r="BF444" s="213"/>
      <c r="BG444" s="213"/>
      <c r="BH444" s="213"/>
      <c r="BI444" s="213"/>
      <c r="BJ444" s="213"/>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row>
    <row r="445" spans="1:243" ht="15.6">
      <c r="A445" s="355"/>
      <c r="B445" s="336"/>
      <c r="C445" s="287"/>
      <c r="D445" s="287"/>
      <c r="E445" s="287"/>
      <c r="F445" s="287"/>
      <c r="G445" s="287"/>
      <c r="H445" s="287"/>
      <c r="I445" s="287"/>
      <c r="J445" s="287"/>
      <c r="K445" s="334"/>
      <c r="L445" s="287"/>
      <c r="M445" s="287"/>
      <c r="N445" s="287"/>
      <c r="O445" s="287"/>
      <c r="P445" s="339"/>
      <c r="S445" s="277"/>
      <c r="T445" s="277"/>
      <c r="U445" s="277"/>
      <c r="V445" s="277"/>
      <c r="W445" s="277"/>
      <c r="X445" s="277"/>
      <c r="Y445" s="277"/>
      <c r="Z445" s="277"/>
      <c r="AA445" s="277"/>
      <c r="AB445" s="277"/>
      <c r="AC445" s="277"/>
      <c r="AD445" s="277"/>
      <c r="AE445" s="277"/>
      <c r="AF445" s="277"/>
      <c r="AG445" s="277"/>
      <c r="AH445" s="277"/>
      <c r="AI445" s="277"/>
      <c r="AJ445" s="216"/>
      <c r="AK445" s="304"/>
      <c r="AL445" s="303"/>
      <c r="AM445" s="216"/>
      <c r="AN445" s="304"/>
      <c r="AO445" s="277"/>
      <c r="AP445" s="303"/>
      <c r="AQ445" s="303"/>
      <c r="AR445" s="304"/>
      <c r="AS445" s="303"/>
      <c r="AT445" s="303"/>
      <c r="AU445" s="303"/>
      <c r="AV445" s="303"/>
      <c r="AW445" s="213"/>
      <c r="AX445" s="213"/>
      <c r="AY445" s="213"/>
      <c r="AZ445" s="213"/>
      <c r="BA445" s="213"/>
      <c r="BB445" s="213"/>
      <c r="BC445" s="213"/>
      <c r="BD445" s="213"/>
      <c r="BE445" s="213"/>
      <c r="BF445" s="213"/>
      <c r="BG445" s="213"/>
      <c r="BH445" s="213"/>
      <c r="BI445" s="213"/>
      <c r="BJ445" s="213"/>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row>
    <row r="446" spans="1:243" s="42" customFormat="1" ht="15.6">
      <c r="A446" s="336" t="s">
        <v>713</v>
      </c>
      <c r="B446" s="336"/>
      <c r="C446" s="341" t="s">
        <v>476</v>
      </c>
      <c r="D446" s="341"/>
      <c r="E446" s="341"/>
      <c r="F446" s="341"/>
      <c r="G446" s="341"/>
      <c r="H446" s="341"/>
      <c r="I446" s="341"/>
      <c r="J446" s="341"/>
      <c r="K446" s="347"/>
      <c r="L446" s="341"/>
      <c r="M446" s="341"/>
      <c r="N446" s="341"/>
      <c r="O446" s="341"/>
      <c r="P446" s="348"/>
      <c r="Q446" s="342"/>
      <c r="R446" s="342"/>
      <c r="S446" s="343"/>
      <c r="T446" s="343"/>
      <c r="U446" s="343"/>
      <c r="V446" s="343"/>
      <c r="W446" s="343"/>
      <c r="X446" s="343"/>
      <c r="Y446" s="343"/>
      <c r="Z446" s="343"/>
      <c r="AA446" s="343"/>
      <c r="AB446" s="343"/>
      <c r="AC446" s="343"/>
      <c r="AD446" s="343"/>
      <c r="AE446" s="343"/>
      <c r="AF446" s="343"/>
      <c r="AG446" s="343"/>
      <c r="AH446" s="343"/>
      <c r="AI446" s="343"/>
      <c r="AJ446" s="344"/>
      <c r="AK446" s="345"/>
      <c r="AL446" s="346"/>
      <c r="AM446" s="344"/>
      <c r="AN446" s="345"/>
      <c r="AO446" s="343"/>
      <c r="AP446" s="346"/>
      <c r="AQ446" s="346"/>
      <c r="AR446" s="345"/>
      <c r="AS446" s="346"/>
      <c r="AT446" s="346"/>
      <c r="AU446" s="346"/>
      <c r="AV446" s="346"/>
      <c r="AW446" s="287"/>
      <c r="AX446" s="287"/>
      <c r="AY446" s="287"/>
      <c r="AZ446" s="287"/>
      <c r="BA446" s="287"/>
      <c r="BB446" s="287"/>
      <c r="BC446" s="287"/>
      <c r="BD446" s="287"/>
      <c r="BE446" s="287"/>
      <c r="BF446" s="287"/>
      <c r="BG446" s="287"/>
      <c r="BH446" s="287"/>
      <c r="BI446" s="287"/>
      <c r="BJ446" s="287"/>
    </row>
    <row r="447" spans="1:243" ht="15.6">
      <c r="A447" s="355"/>
      <c r="B447" s="336"/>
      <c r="C447" s="287"/>
      <c r="D447" s="287"/>
      <c r="E447" s="287"/>
      <c r="F447" s="287"/>
      <c r="G447" s="287"/>
      <c r="H447" s="287"/>
      <c r="I447" s="287"/>
      <c r="J447" s="287"/>
      <c r="K447" s="334"/>
      <c r="L447" s="287"/>
      <c r="M447" s="287"/>
      <c r="N447" s="287"/>
      <c r="O447" s="287"/>
      <c r="P447" s="339"/>
      <c r="S447" s="277"/>
      <c r="T447" s="277"/>
      <c r="U447" s="277"/>
      <c r="V447" s="277"/>
      <c r="W447" s="277"/>
      <c r="X447" s="277"/>
      <c r="Y447" s="277"/>
      <c r="Z447" s="277"/>
      <c r="AA447" s="277"/>
      <c r="AB447" s="277"/>
      <c r="AC447" s="277"/>
      <c r="AD447" s="277"/>
      <c r="AE447" s="277"/>
      <c r="AF447" s="277"/>
      <c r="AG447" s="277"/>
      <c r="AH447" s="277"/>
      <c r="AI447" s="277"/>
      <c r="AJ447" s="216"/>
      <c r="AK447" s="304"/>
      <c r="AL447" s="303"/>
      <c r="AM447" s="216"/>
      <c r="AN447" s="304"/>
      <c r="AO447" s="277"/>
      <c r="AP447" s="303"/>
      <c r="AQ447" s="303"/>
      <c r="AR447" s="304"/>
      <c r="AS447" s="303"/>
      <c r="AT447" s="303"/>
      <c r="AU447" s="303"/>
      <c r="AV447" s="303"/>
      <c r="AW447" s="213"/>
      <c r="AX447" s="213"/>
      <c r="AY447" s="213"/>
      <c r="AZ447" s="213"/>
      <c r="BA447" s="213"/>
      <c r="BB447" s="213"/>
      <c r="BC447" s="213"/>
      <c r="BD447" s="213"/>
      <c r="BE447" s="213"/>
      <c r="BF447" s="213"/>
      <c r="BG447" s="213"/>
      <c r="BH447" s="213"/>
      <c r="BI447" s="213"/>
      <c r="BJ447" s="213"/>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row>
    <row r="448" spans="1:243" ht="18.600000000000001">
      <c r="A448" s="355" t="s">
        <v>494</v>
      </c>
      <c r="B448" s="355" t="s">
        <v>1078</v>
      </c>
      <c r="C448" s="334"/>
      <c r="D448" s="1778" t="s">
        <v>714</v>
      </c>
      <c r="E448" s="1779"/>
      <c r="F448" s="1779"/>
      <c r="G448" s="1779"/>
      <c r="H448" s="1779"/>
      <c r="I448" s="1779"/>
      <c r="J448" s="1779"/>
      <c r="K448" s="1779"/>
      <c r="L448" s="1779"/>
      <c r="M448" s="1779"/>
      <c r="N448" s="1779"/>
      <c r="O448" s="1779"/>
      <c r="P448" s="357"/>
      <c r="S448" s="277"/>
      <c r="T448" s="277"/>
      <c r="U448" s="277"/>
      <c r="V448" s="277"/>
      <c r="W448" s="277"/>
      <c r="X448" s="277"/>
      <c r="Y448" s="277"/>
      <c r="Z448" s="277"/>
      <c r="AA448" s="277"/>
      <c r="AB448" s="277"/>
      <c r="AC448" s="277"/>
      <c r="AD448" s="277"/>
      <c r="AE448" s="277"/>
      <c r="AF448" s="277"/>
      <c r="AG448" s="277"/>
      <c r="AH448" s="277"/>
      <c r="AI448" s="277"/>
      <c r="AJ448" s="216"/>
      <c r="AK448" s="304"/>
      <c r="AL448" s="303"/>
      <c r="AM448" s="216"/>
      <c r="AN448" s="304"/>
      <c r="AO448" s="277"/>
      <c r="AP448" s="303"/>
      <c r="AQ448" s="303"/>
      <c r="AR448" s="304"/>
      <c r="AS448" s="303"/>
      <c r="AT448" s="303"/>
      <c r="AU448" s="303"/>
      <c r="AV448" s="303"/>
      <c r="AW448" s="213"/>
      <c r="AX448" s="213"/>
      <c r="AY448" s="213"/>
      <c r="AZ448" s="213"/>
      <c r="BA448" s="213"/>
      <c r="BB448" s="213"/>
      <c r="BC448" s="213"/>
      <c r="BD448" s="213"/>
      <c r="BE448" s="213"/>
      <c r="BF448" s="213"/>
      <c r="BG448" s="213"/>
      <c r="BH448" s="213"/>
      <c r="BI448" s="213"/>
      <c r="BJ448" s="213"/>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row>
    <row r="449" spans="1:243" ht="15.6">
      <c r="A449" s="322" t="s">
        <v>928</v>
      </c>
      <c r="B449" s="322" t="s">
        <v>928</v>
      </c>
      <c r="C449" s="335"/>
      <c r="D449" s="358" t="s">
        <v>715</v>
      </c>
      <c r="E449" s="358" t="s">
        <v>716</v>
      </c>
      <c r="F449" s="358" t="s">
        <v>717</v>
      </c>
      <c r="G449" s="358" t="s">
        <v>718</v>
      </c>
      <c r="H449" s="358" t="s">
        <v>719</v>
      </c>
      <c r="I449" s="358" t="s">
        <v>720</v>
      </c>
      <c r="J449" s="358" t="s">
        <v>721</v>
      </c>
      <c r="K449" s="358" t="s">
        <v>722</v>
      </c>
      <c r="L449" s="358" t="s">
        <v>723</v>
      </c>
      <c r="M449" s="358" t="s">
        <v>724</v>
      </c>
      <c r="N449" s="358" t="s">
        <v>725</v>
      </c>
      <c r="O449" s="358" t="s">
        <v>726</v>
      </c>
      <c r="P449" s="359"/>
      <c r="S449" s="277"/>
      <c r="T449" s="277"/>
      <c r="U449" s="277"/>
      <c r="V449" s="277"/>
      <c r="W449" s="277"/>
      <c r="X449" s="277"/>
      <c r="Y449" s="277"/>
      <c r="Z449" s="277"/>
      <c r="AA449" s="277"/>
      <c r="AB449" s="277"/>
      <c r="AC449" s="277"/>
      <c r="AD449" s="277"/>
      <c r="AE449" s="277"/>
      <c r="AF449" s="277"/>
      <c r="AG449" s="277"/>
      <c r="AH449" s="277"/>
      <c r="AI449" s="277"/>
      <c r="AJ449" s="216"/>
      <c r="AK449" s="304"/>
      <c r="AL449" s="303"/>
      <c r="AM449" s="216"/>
      <c r="AN449" s="304"/>
      <c r="AO449" s="277"/>
      <c r="AP449" s="303"/>
      <c r="AQ449" s="303"/>
      <c r="AR449" s="304"/>
      <c r="AS449" s="303"/>
      <c r="AT449" s="303"/>
      <c r="AU449" s="303"/>
      <c r="AV449" s="303"/>
      <c r="AW449" s="213"/>
      <c r="AX449" s="213"/>
      <c r="AY449" s="213"/>
      <c r="AZ449" s="213"/>
      <c r="BA449" s="213"/>
      <c r="BB449" s="213"/>
      <c r="BC449" s="213"/>
      <c r="BD449" s="213"/>
      <c r="BE449" s="213"/>
      <c r="BF449" s="213"/>
      <c r="BG449" s="213"/>
      <c r="BH449" s="213"/>
      <c r="BI449" s="213"/>
      <c r="BJ449" s="213"/>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row>
    <row r="450" spans="1:243" ht="15.6">
      <c r="A450" s="170">
        <f>A444+1</f>
        <v>64</v>
      </c>
      <c r="B450" s="327">
        <v>311</v>
      </c>
      <c r="C450" s="287"/>
      <c r="D450" s="905">
        <v>0</v>
      </c>
      <c r="E450" s="905">
        <v>0</v>
      </c>
      <c r="F450" s="905">
        <v>0</v>
      </c>
      <c r="G450" s="905">
        <v>0</v>
      </c>
      <c r="H450" s="905">
        <v>0</v>
      </c>
      <c r="I450" s="905">
        <v>0</v>
      </c>
      <c r="J450" s="905">
        <v>0</v>
      </c>
      <c r="K450" s="905">
        <v>0</v>
      </c>
      <c r="L450" s="905">
        <v>0</v>
      </c>
      <c r="M450" s="905">
        <v>0</v>
      </c>
      <c r="N450" s="905">
        <v>0</v>
      </c>
      <c r="O450" s="905">
        <v>0</v>
      </c>
      <c r="P450" s="339"/>
      <c r="S450" s="277"/>
      <c r="T450" s="277"/>
      <c r="U450" s="277"/>
      <c r="V450" s="277"/>
      <c r="W450" s="277"/>
      <c r="X450" s="277"/>
      <c r="Y450" s="277"/>
      <c r="Z450" s="277"/>
      <c r="AA450" s="277"/>
      <c r="AB450" s="277"/>
      <c r="AC450" s="277"/>
      <c r="AD450" s="277"/>
      <c r="AE450" s="277"/>
      <c r="AF450" s="277"/>
      <c r="AG450" s="277"/>
      <c r="AH450" s="277"/>
      <c r="AI450" s="277"/>
      <c r="AJ450" s="216"/>
      <c r="AK450" s="304"/>
      <c r="AL450" s="303"/>
      <c r="AM450" s="216"/>
      <c r="AN450" s="304"/>
      <c r="AO450" s="277"/>
      <c r="AP450" s="303"/>
      <c r="AQ450" s="303"/>
      <c r="AR450" s="304"/>
      <c r="AS450" s="303"/>
      <c r="AT450" s="303"/>
      <c r="AU450" s="303"/>
      <c r="AV450" s="303"/>
      <c r="AW450" s="213"/>
      <c r="AX450" s="213"/>
      <c r="AY450" s="213"/>
      <c r="AZ450" s="213"/>
      <c r="BA450" s="213"/>
      <c r="BB450" s="213"/>
      <c r="BC450" s="213"/>
      <c r="BD450" s="213"/>
      <c r="BE450" s="213"/>
      <c r="BF450" s="213"/>
      <c r="BG450" s="213"/>
      <c r="BH450" s="213"/>
      <c r="BI450" s="213"/>
      <c r="BJ450" s="213"/>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row>
    <row r="451" spans="1:243" ht="15.6">
      <c r="A451" s="170">
        <f t="shared" ref="A451:A456" si="97">A450+1</f>
        <v>65</v>
      </c>
      <c r="B451" s="327">
        <v>312</v>
      </c>
      <c r="C451" s="287"/>
      <c r="D451" s="907">
        <v>0</v>
      </c>
      <c r="E451" s="907">
        <v>0</v>
      </c>
      <c r="F451" s="907">
        <v>0</v>
      </c>
      <c r="G451" s="907">
        <v>0</v>
      </c>
      <c r="H451" s="907">
        <v>0</v>
      </c>
      <c r="I451" s="907">
        <v>0</v>
      </c>
      <c r="J451" s="907">
        <v>0</v>
      </c>
      <c r="K451" s="907">
        <v>0</v>
      </c>
      <c r="L451" s="907">
        <v>0</v>
      </c>
      <c r="M451" s="907">
        <v>0</v>
      </c>
      <c r="N451" s="907">
        <v>0</v>
      </c>
      <c r="O451" s="907">
        <v>0</v>
      </c>
      <c r="P451" s="339"/>
      <c r="S451" s="277"/>
      <c r="T451" s="277"/>
      <c r="U451" s="277"/>
      <c r="V451" s="277"/>
      <c r="W451" s="277"/>
      <c r="X451" s="277"/>
      <c r="Y451" s="277"/>
      <c r="Z451" s="277"/>
      <c r="AA451" s="277"/>
      <c r="AB451" s="277"/>
      <c r="AC451" s="277"/>
      <c r="AD451" s="277"/>
      <c r="AE451" s="277"/>
      <c r="AF451" s="277"/>
      <c r="AG451" s="277"/>
      <c r="AH451" s="277"/>
      <c r="AI451" s="277"/>
      <c r="AJ451" s="216"/>
      <c r="AK451" s="304"/>
      <c r="AL451" s="303"/>
      <c r="AM451" s="216"/>
      <c r="AN451" s="304"/>
      <c r="AO451" s="277"/>
      <c r="AP451" s="303"/>
      <c r="AQ451" s="303"/>
      <c r="AR451" s="304"/>
      <c r="AS451" s="303"/>
      <c r="AT451" s="303"/>
      <c r="AU451" s="303"/>
      <c r="AV451" s="303"/>
      <c r="AW451" s="213"/>
      <c r="AX451" s="213"/>
      <c r="AY451" s="213"/>
      <c r="AZ451" s="213"/>
      <c r="BA451" s="213"/>
      <c r="BB451" s="213"/>
      <c r="BC451" s="213"/>
      <c r="BD451" s="213"/>
      <c r="BE451" s="213"/>
      <c r="BF451" s="213"/>
      <c r="BG451" s="213"/>
      <c r="BH451" s="213"/>
      <c r="BI451" s="213"/>
      <c r="BJ451" s="213"/>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row>
    <row r="452" spans="1:243" ht="15.6">
      <c r="A452" s="170">
        <f t="shared" si="97"/>
        <v>66</v>
      </c>
      <c r="B452" s="327">
        <v>312.10000000000002</v>
      </c>
      <c r="C452" s="287"/>
      <c r="D452" s="907">
        <v>0</v>
      </c>
      <c r="E452" s="907">
        <v>0</v>
      </c>
      <c r="F452" s="907">
        <v>0</v>
      </c>
      <c r="G452" s="907">
        <v>0</v>
      </c>
      <c r="H452" s="907">
        <v>0</v>
      </c>
      <c r="I452" s="907">
        <v>0</v>
      </c>
      <c r="J452" s="907">
        <v>0</v>
      </c>
      <c r="K452" s="907">
        <v>0</v>
      </c>
      <c r="L452" s="907">
        <v>0</v>
      </c>
      <c r="M452" s="907">
        <v>0</v>
      </c>
      <c r="N452" s="907">
        <v>0</v>
      </c>
      <c r="O452" s="907">
        <v>0</v>
      </c>
      <c r="P452" s="339"/>
      <c r="S452" s="277"/>
      <c r="T452" s="277"/>
      <c r="U452" s="277"/>
      <c r="V452" s="277"/>
      <c r="W452" s="277"/>
      <c r="X452" s="277"/>
      <c r="Y452" s="277"/>
      <c r="Z452" s="277"/>
      <c r="AA452" s="277"/>
      <c r="AB452" s="277"/>
      <c r="AC452" s="277"/>
      <c r="AD452" s="277"/>
      <c r="AE452" s="277"/>
      <c r="AF452" s="277"/>
      <c r="AG452" s="277"/>
      <c r="AH452" s="277"/>
      <c r="AI452" s="277"/>
      <c r="AJ452" s="216"/>
      <c r="AK452" s="304"/>
      <c r="AL452" s="303"/>
      <c r="AM452" s="216"/>
      <c r="AN452" s="304"/>
      <c r="AO452" s="277"/>
      <c r="AP452" s="303"/>
      <c r="AQ452" s="303"/>
      <c r="AR452" s="304"/>
      <c r="AS452" s="303"/>
      <c r="AT452" s="303"/>
      <c r="AU452" s="303"/>
      <c r="AV452" s="303"/>
      <c r="AW452" s="213"/>
      <c r="AX452" s="213"/>
      <c r="AY452" s="213"/>
      <c r="AZ452" s="213"/>
      <c r="BA452" s="213"/>
      <c r="BB452" s="213"/>
      <c r="BC452" s="213"/>
      <c r="BD452" s="213"/>
      <c r="BE452" s="213"/>
      <c r="BF452" s="213"/>
      <c r="BG452" s="213"/>
      <c r="BH452" s="213"/>
      <c r="BI452" s="213"/>
      <c r="BJ452" s="213"/>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row>
    <row r="453" spans="1:243" ht="15.6">
      <c r="A453" s="170">
        <f t="shared" si="97"/>
        <v>67</v>
      </c>
      <c r="B453" s="327">
        <v>312.2</v>
      </c>
      <c r="C453" s="287"/>
      <c r="D453" s="907">
        <v>0</v>
      </c>
      <c r="E453" s="907">
        <v>0</v>
      </c>
      <c r="F453" s="907">
        <v>0</v>
      </c>
      <c r="G453" s="907">
        <v>0</v>
      </c>
      <c r="H453" s="907">
        <v>0</v>
      </c>
      <c r="I453" s="907">
        <v>0</v>
      </c>
      <c r="J453" s="907">
        <v>0</v>
      </c>
      <c r="K453" s="907">
        <v>0</v>
      </c>
      <c r="L453" s="907">
        <v>0</v>
      </c>
      <c r="M453" s="907">
        <v>0</v>
      </c>
      <c r="N453" s="907">
        <v>0</v>
      </c>
      <c r="O453" s="907">
        <v>0</v>
      </c>
      <c r="P453" s="339"/>
      <c r="S453" s="277"/>
      <c r="T453" s="277"/>
      <c r="U453" s="277"/>
      <c r="V453" s="277"/>
      <c r="W453" s="277"/>
      <c r="X453" s="277"/>
      <c r="Y453" s="277"/>
      <c r="Z453" s="277"/>
      <c r="AA453" s="277"/>
      <c r="AB453" s="277"/>
      <c r="AC453" s="277"/>
      <c r="AD453" s="277"/>
      <c r="AE453" s="277"/>
      <c r="AF453" s="277"/>
      <c r="AG453" s="277"/>
      <c r="AH453" s="277"/>
      <c r="AI453" s="277"/>
      <c r="AJ453" s="216"/>
      <c r="AK453" s="304"/>
      <c r="AL453" s="303"/>
      <c r="AM453" s="216"/>
      <c r="AN453" s="304"/>
      <c r="AO453" s="277"/>
      <c r="AP453" s="303"/>
      <c r="AQ453" s="303"/>
      <c r="AR453" s="304"/>
      <c r="AS453" s="303"/>
      <c r="AT453" s="303"/>
      <c r="AU453" s="303"/>
      <c r="AV453" s="303"/>
      <c r="AW453" s="213"/>
      <c r="AX453" s="213"/>
      <c r="AY453" s="213"/>
      <c r="AZ453" s="213"/>
      <c r="BA453" s="213"/>
      <c r="BB453" s="213"/>
      <c r="BC453" s="213"/>
      <c r="BD453" s="213"/>
      <c r="BE453" s="213"/>
      <c r="BF453" s="213"/>
      <c r="BG453" s="213"/>
      <c r="BH453" s="213"/>
      <c r="BI453" s="213"/>
      <c r="BJ453" s="21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row>
    <row r="454" spans="1:243" ht="15.6">
      <c r="A454" s="170">
        <f t="shared" si="97"/>
        <v>68</v>
      </c>
      <c r="B454" s="327">
        <v>314</v>
      </c>
      <c r="C454" s="287"/>
      <c r="D454" s="907">
        <v>0</v>
      </c>
      <c r="E454" s="907">
        <v>0</v>
      </c>
      <c r="F454" s="907">
        <v>0</v>
      </c>
      <c r="G454" s="907">
        <v>0</v>
      </c>
      <c r="H454" s="907">
        <v>0</v>
      </c>
      <c r="I454" s="907">
        <v>0</v>
      </c>
      <c r="J454" s="907">
        <v>0</v>
      </c>
      <c r="K454" s="907">
        <v>0</v>
      </c>
      <c r="L454" s="907">
        <v>0</v>
      </c>
      <c r="M454" s="907">
        <v>0</v>
      </c>
      <c r="N454" s="907">
        <v>0</v>
      </c>
      <c r="O454" s="907">
        <v>0</v>
      </c>
      <c r="P454" s="339"/>
      <c r="S454" s="277"/>
      <c r="T454" s="277"/>
      <c r="U454" s="277"/>
      <c r="V454" s="277"/>
      <c r="W454" s="277"/>
      <c r="X454" s="277"/>
      <c r="Y454" s="277"/>
      <c r="Z454" s="277"/>
      <c r="AA454" s="277"/>
      <c r="AB454" s="277"/>
      <c r="AC454" s="277"/>
      <c r="AD454" s="277"/>
      <c r="AE454" s="277"/>
      <c r="AF454" s="277"/>
      <c r="AG454" s="277"/>
      <c r="AH454" s="277"/>
      <c r="AI454" s="277"/>
      <c r="AJ454" s="216"/>
      <c r="AK454" s="304"/>
      <c r="AL454" s="303"/>
      <c r="AM454" s="216"/>
      <c r="AN454" s="304"/>
      <c r="AO454" s="277"/>
      <c r="AP454" s="303"/>
      <c r="AQ454" s="303"/>
      <c r="AR454" s="304"/>
      <c r="AS454" s="303"/>
      <c r="AT454" s="303"/>
      <c r="AU454" s="303"/>
      <c r="AV454" s="303"/>
      <c r="AW454" s="213"/>
      <c r="AX454" s="213"/>
      <c r="AY454" s="213"/>
      <c r="AZ454" s="213"/>
      <c r="BA454" s="213"/>
      <c r="BB454" s="213"/>
      <c r="BC454" s="213"/>
      <c r="BD454" s="213"/>
      <c r="BE454" s="213"/>
      <c r="BF454" s="213"/>
      <c r="BG454" s="213"/>
      <c r="BH454" s="213"/>
      <c r="BI454" s="213"/>
      <c r="BJ454" s="213"/>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row>
    <row r="455" spans="1:243" ht="15.6">
      <c r="A455" s="170">
        <f t="shared" si="97"/>
        <v>69</v>
      </c>
      <c r="B455" s="327">
        <v>315</v>
      </c>
      <c r="C455" s="287"/>
      <c r="D455" s="907">
        <v>0</v>
      </c>
      <c r="E455" s="907">
        <v>0</v>
      </c>
      <c r="F455" s="907">
        <v>0</v>
      </c>
      <c r="G455" s="907">
        <v>0</v>
      </c>
      <c r="H455" s="907">
        <v>0</v>
      </c>
      <c r="I455" s="907">
        <v>0</v>
      </c>
      <c r="J455" s="907">
        <v>0</v>
      </c>
      <c r="K455" s="907">
        <v>0</v>
      </c>
      <c r="L455" s="907">
        <v>0</v>
      </c>
      <c r="M455" s="907">
        <v>0</v>
      </c>
      <c r="N455" s="907">
        <v>0</v>
      </c>
      <c r="O455" s="907">
        <v>0</v>
      </c>
      <c r="P455" s="339"/>
      <c r="S455" s="277"/>
      <c r="T455" s="277"/>
      <c r="U455" s="277"/>
      <c r="V455" s="277"/>
      <c r="W455" s="277"/>
      <c r="X455" s="277"/>
      <c r="Y455" s="277"/>
      <c r="Z455" s="277"/>
      <c r="AA455" s="277"/>
      <c r="AB455" s="277"/>
      <c r="AC455" s="277"/>
      <c r="AD455" s="277"/>
      <c r="AE455" s="277"/>
      <c r="AF455" s="277"/>
      <c r="AG455" s="277"/>
      <c r="AH455" s="277"/>
      <c r="AI455" s="277"/>
      <c r="AJ455" s="216"/>
      <c r="AK455" s="304"/>
      <c r="AL455" s="303"/>
      <c r="AM455" s="216"/>
      <c r="AN455" s="304"/>
      <c r="AO455" s="277"/>
      <c r="AP455" s="303"/>
      <c r="AQ455" s="303"/>
      <c r="AR455" s="304"/>
      <c r="AS455" s="303"/>
      <c r="AT455" s="303"/>
      <c r="AU455" s="303"/>
      <c r="AV455" s="303"/>
      <c r="AW455" s="213"/>
      <c r="AX455" s="213"/>
      <c r="AY455" s="213"/>
      <c r="AZ455" s="213"/>
      <c r="BA455" s="213"/>
      <c r="BB455" s="213"/>
      <c r="BC455" s="213"/>
      <c r="BD455" s="213"/>
      <c r="BE455" s="213"/>
      <c r="BF455" s="213"/>
      <c r="BG455" s="213"/>
      <c r="BH455" s="213"/>
      <c r="BI455" s="213"/>
      <c r="BJ455" s="213"/>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row>
    <row r="456" spans="1:243" ht="15.6">
      <c r="A456" s="170">
        <f t="shared" si="97"/>
        <v>70</v>
      </c>
      <c r="B456" s="327">
        <v>316</v>
      </c>
      <c r="C456" s="287"/>
      <c r="D456" s="907">
        <v>0</v>
      </c>
      <c r="E456" s="907">
        <v>0</v>
      </c>
      <c r="F456" s="907">
        <v>0</v>
      </c>
      <c r="G456" s="907">
        <v>0</v>
      </c>
      <c r="H456" s="907">
        <v>0</v>
      </c>
      <c r="I456" s="907">
        <v>0</v>
      </c>
      <c r="J456" s="907">
        <v>0</v>
      </c>
      <c r="K456" s="907">
        <v>0</v>
      </c>
      <c r="L456" s="907">
        <v>0</v>
      </c>
      <c r="M456" s="907">
        <v>0</v>
      </c>
      <c r="N456" s="907">
        <v>0</v>
      </c>
      <c r="O456" s="907">
        <v>0</v>
      </c>
      <c r="P456" s="339"/>
      <c r="S456" s="277"/>
      <c r="T456" s="277"/>
      <c r="U456" s="277"/>
      <c r="V456" s="277"/>
      <c r="W456" s="277"/>
      <c r="X456" s="277"/>
      <c r="Y456" s="277"/>
      <c r="Z456" s="277"/>
      <c r="AA456" s="277"/>
      <c r="AB456" s="277"/>
      <c r="AC456" s="277"/>
      <c r="AD456" s="277"/>
      <c r="AE456" s="277"/>
      <c r="AF456" s="277"/>
      <c r="AG456" s="277"/>
      <c r="AH456" s="277"/>
      <c r="AI456" s="277"/>
      <c r="AJ456" s="216"/>
      <c r="AK456" s="304"/>
      <c r="AL456" s="303"/>
      <c r="AM456" s="216"/>
      <c r="AN456" s="304"/>
      <c r="AO456" s="277"/>
      <c r="AP456" s="303"/>
      <c r="AQ456" s="303"/>
      <c r="AR456" s="304"/>
      <c r="AS456" s="303"/>
      <c r="AT456" s="303"/>
      <c r="AU456" s="303"/>
      <c r="AV456" s="303"/>
      <c r="AW456" s="213"/>
      <c r="AX456" s="213"/>
      <c r="AY456" s="213"/>
      <c r="AZ456" s="213"/>
      <c r="BA456" s="213"/>
      <c r="BB456" s="213"/>
      <c r="BC456" s="213"/>
      <c r="BD456" s="213"/>
      <c r="BE456" s="213"/>
      <c r="BF456" s="213"/>
      <c r="BG456" s="213"/>
      <c r="BH456" s="213"/>
      <c r="BI456" s="213"/>
      <c r="BJ456" s="213"/>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row>
    <row r="457" spans="1:243" ht="15.6">
      <c r="A457" s="170"/>
      <c r="B457" s="336"/>
      <c r="C457" s="287"/>
      <c r="D457" s="287"/>
      <c r="E457" s="287"/>
      <c r="F457" s="287"/>
      <c r="G457" s="287"/>
      <c r="H457" s="287"/>
      <c r="I457" s="287"/>
      <c r="J457" s="287"/>
      <c r="K457" s="334"/>
      <c r="L457" s="287"/>
      <c r="M457" s="287"/>
      <c r="N457" s="287"/>
      <c r="O457" s="287"/>
      <c r="P457" s="339"/>
      <c r="S457" s="277"/>
      <c r="T457" s="277"/>
      <c r="U457" s="277"/>
      <c r="V457" s="277"/>
      <c r="W457" s="277"/>
      <c r="X457" s="277"/>
      <c r="Y457" s="277"/>
      <c r="Z457" s="277"/>
      <c r="AA457" s="277"/>
      <c r="AB457" s="277"/>
      <c r="AC457" s="277"/>
      <c r="AD457" s="277"/>
      <c r="AE457" s="277"/>
      <c r="AF457" s="277"/>
      <c r="AG457" s="277"/>
      <c r="AH457" s="277"/>
      <c r="AI457" s="277"/>
      <c r="AJ457" s="216"/>
      <c r="AK457" s="304"/>
      <c r="AL457" s="303"/>
      <c r="AM457" s="216"/>
      <c r="AN457" s="304"/>
      <c r="AO457" s="277"/>
      <c r="AP457" s="303"/>
      <c r="AQ457" s="303"/>
      <c r="AR457" s="304"/>
      <c r="AS457" s="303"/>
      <c r="AT457" s="303"/>
      <c r="AU457" s="303"/>
      <c r="AV457" s="303"/>
      <c r="AW457" s="213"/>
      <c r="AX457" s="213"/>
      <c r="AY457" s="213"/>
      <c r="AZ457" s="213"/>
      <c r="BA457" s="213"/>
      <c r="BB457" s="213"/>
      <c r="BC457" s="213"/>
      <c r="BD457" s="213"/>
      <c r="BE457" s="213"/>
      <c r="BF457" s="213"/>
      <c r="BG457" s="213"/>
      <c r="BH457" s="213"/>
      <c r="BI457" s="213"/>
      <c r="BJ457" s="213"/>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row>
    <row r="458" spans="1:243" ht="18.600000000000001">
      <c r="A458" s="355"/>
      <c r="B458" s="355" t="s">
        <v>1078</v>
      </c>
      <c r="C458" s="334" t="s">
        <v>727</v>
      </c>
      <c r="D458" s="1778" t="s">
        <v>728</v>
      </c>
      <c r="E458" s="1779"/>
      <c r="F458" s="1779"/>
      <c r="G458" s="1779"/>
      <c r="H458" s="1779"/>
      <c r="I458" s="1779"/>
      <c r="J458" s="1779"/>
      <c r="K458" s="1779"/>
      <c r="L458" s="1779"/>
      <c r="M458" s="1779"/>
      <c r="N458" s="1779"/>
      <c r="O458" s="1779"/>
      <c r="P458" s="1779"/>
      <c r="S458" s="277"/>
      <c r="T458" s="277"/>
      <c r="U458" s="277"/>
      <c r="V458" s="277"/>
      <c r="W458" s="277"/>
      <c r="X458" s="277"/>
      <c r="Y458" s="277"/>
      <c r="Z458" s="277"/>
      <c r="AA458" s="277"/>
      <c r="AB458" s="277"/>
      <c r="AC458" s="277"/>
      <c r="AD458" s="277"/>
      <c r="AE458" s="277"/>
      <c r="AF458" s="277"/>
      <c r="AG458" s="277"/>
      <c r="AH458" s="277"/>
      <c r="AI458" s="277"/>
      <c r="AJ458" s="216"/>
      <c r="AK458" s="304"/>
      <c r="AL458" s="303"/>
      <c r="AM458" s="216"/>
      <c r="AN458" s="304"/>
      <c r="AO458" s="277"/>
      <c r="AP458" s="303"/>
      <c r="AQ458" s="303"/>
      <c r="AR458" s="304"/>
      <c r="AS458" s="303"/>
      <c r="AT458" s="303"/>
      <c r="AU458" s="303"/>
      <c r="AV458" s="303"/>
      <c r="AW458" s="213"/>
      <c r="AX458" s="213"/>
      <c r="AY458" s="213"/>
      <c r="AZ458" s="213"/>
      <c r="BA458" s="213"/>
      <c r="BB458" s="213"/>
      <c r="BC458" s="213"/>
      <c r="BD458" s="213"/>
      <c r="BE458" s="213"/>
      <c r="BF458" s="213"/>
      <c r="BG458" s="213"/>
      <c r="BH458" s="213"/>
      <c r="BI458" s="213"/>
      <c r="BJ458" s="213"/>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row>
    <row r="459" spans="1:243" ht="18.600000000000001">
      <c r="A459" s="322"/>
      <c r="B459" s="322" t="s">
        <v>928</v>
      </c>
      <c r="C459" s="335" t="s">
        <v>729</v>
      </c>
      <c r="D459" s="358" t="s">
        <v>716</v>
      </c>
      <c r="E459" s="358" t="s">
        <v>717</v>
      </c>
      <c r="F459" s="358" t="s">
        <v>718</v>
      </c>
      <c r="G459" s="358" t="s">
        <v>719</v>
      </c>
      <c r="H459" s="358" t="s">
        <v>720</v>
      </c>
      <c r="I459" s="358" t="s">
        <v>721</v>
      </c>
      <c r="J459" s="358" t="s">
        <v>722</v>
      </c>
      <c r="K459" s="358" t="s">
        <v>723</v>
      </c>
      <c r="L459" s="358" t="s">
        <v>724</v>
      </c>
      <c r="M459" s="358" t="s">
        <v>725</v>
      </c>
      <c r="N459" s="358" t="s">
        <v>726</v>
      </c>
      <c r="O459" s="358" t="s">
        <v>715</v>
      </c>
      <c r="P459" s="360" t="s">
        <v>468</v>
      </c>
      <c r="S459" s="277"/>
      <c r="T459" s="277"/>
      <c r="U459" s="277"/>
      <c r="V459" s="277"/>
      <c r="W459" s="277"/>
      <c r="X459" s="277"/>
      <c r="Y459" s="277"/>
      <c r="Z459" s="277"/>
      <c r="AA459" s="277"/>
      <c r="AB459" s="277"/>
      <c r="AC459" s="277"/>
      <c r="AD459" s="277"/>
      <c r="AE459" s="277"/>
      <c r="AF459" s="277"/>
      <c r="AG459" s="277"/>
      <c r="AH459" s="277"/>
      <c r="AI459" s="277"/>
      <c r="AJ459" s="216"/>
      <c r="AK459" s="304"/>
      <c r="AL459" s="303"/>
      <c r="AM459" s="216"/>
      <c r="AN459" s="304"/>
      <c r="AO459" s="277"/>
      <c r="AP459" s="303"/>
      <c r="AQ459" s="303"/>
      <c r="AR459" s="304"/>
      <c r="AS459" s="303"/>
      <c r="AT459" s="303"/>
      <c r="AU459" s="303"/>
      <c r="AV459" s="303"/>
      <c r="AW459" s="213"/>
      <c r="AX459" s="213"/>
      <c r="AY459" s="213"/>
      <c r="AZ459" s="213"/>
      <c r="BA459" s="213"/>
      <c r="BB459" s="213"/>
      <c r="BC459" s="213"/>
      <c r="BD459" s="213"/>
      <c r="BE459" s="213"/>
      <c r="BF459" s="213"/>
      <c r="BG459" s="213"/>
      <c r="BH459" s="213"/>
      <c r="BI459" s="213"/>
      <c r="BJ459" s="213"/>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row>
    <row r="460" spans="1:243" ht="15.6">
      <c r="A460" s="170">
        <f>A456+1</f>
        <v>71</v>
      </c>
      <c r="B460" s="327">
        <f>B450</f>
        <v>311</v>
      </c>
      <c r="C460" s="906"/>
      <c r="D460" s="603">
        <f>D450*$C460/100/12</f>
        <v>0</v>
      </c>
      <c r="E460" s="603">
        <f t="shared" ref="E460:O460" si="98">E450*$C460/100/12</f>
        <v>0</v>
      </c>
      <c r="F460" s="603">
        <f t="shared" si="98"/>
        <v>0</v>
      </c>
      <c r="G460" s="603">
        <f t="shared" si="98"/>
        <v>0</v>
      </c>
      <c r="H460" s="603">
        <f t="shared" si="98"/>
        <v>0</v>
      </c>
      <c r="I460" s="603">
        <f t="shared" si="98"/>
        <v>0</v>
      </c>
      <c r="J460" s="603">
        <f t="shared" si="98"/>
        <v>0</v>
      </c>
      <c r="K460" s="603">
        <f t="shared" si="98"/>
        <v>0</v>
      </c>
      <c r="L460" s="603">
        <f t="shared" si="98"/>
        <v>0</v>
      </c>
      <c r="M460" s="603">
        <f t="shared" si="98"/>
        <v>0</v>
      </c>
      <c r="N460" s="603">
        <f t="shared" si="98"/>
        <v>0</v>
      </c>
      <c r="O460" s="603">
        <f t="shared" si="98"/>
        <v>0</v>
      </c>
      <c r="P460" s="333">
        <f>SUM(D460:O460)</f>
        <v>0</v>
      </c>
      <c r="S460" s="277"/>
      <c r="T460" s="277"/>
      <c r="U460" s="277"/>
      <c r="V460" s="277"/>
      <c r="W460" s="277"/>
      <c r="X460" s="277"/>
      <c r="Y460" s="277"/>
      <c r="Z460" s="277"/>
      <c r="AA460" s="277"/>
      <c r="AB460" s="277"/>
      <c r="AC460" s="277"/>
      <c r="AD460" s="277"/>
      <c r="AE460" s="277"/>
      <c r="AF460" s="277"/>
      <c r="AG460" s="277"/>
      <c r="AH460" s="277"/>
      <c r="AI460" s="277"/>
      <c r="AJ460" s="216"/>
      <c r="AK460" s="304"/>
      <c r="AL460" s="303"/>
      <c r="AM460" s="216"/>
      <c r="AN460" s="304"/>
      <c r="AO460" s="277"/>
      <c r="AP460" s="303"/>
      <c r="AQ460" s="303"/>
      <c r="AR460" s="304"/>
      <c r="AS460" s="303"/>
      <c r="AT460" s="303"/>
      <c r="AU460" s="303"/>
      <c r="AV460" s="303"/>
      <c r="AW460" s="213"/>
      <c r="AX460" s="213"/>
      <c r="AY460" s="213"/>
      <c r="AZ460" s="213"/>
      <c r="BA460" s="213"/>
      <c r="BB460" s="213"/>
      <c r="BC460" s="213"/>
      <c r="BD460" s="213"/>
      <c r="BE460" s="213"/>
      <c r="BF460" s="213"/>
      <c r="BG460" s="213"/>
      <c r="BH460" s="213"/>
      <c r="BI460" s="213"/>
      <c r="BJ460" s="213"/>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row>
    <row r="461" spans="1:243" ht="15.6">
      <c r="A461" s="170">
        <f t="shared" ref="A461:A466" si="99">A460+1</f>
        <v>72</v>
      </c>
      <c r="B461" s="327">
        <f t="shared" ref="B461:B466" si="100">B451</f>
        <v>312</v>
      </c>
      <c r="C461" s="906"/>
      <c r="D461" s="603">
        <f t="shared" ref="D461:O466" si="101">D451*$C461/100/12</f>
        <v>0</v>
      </c>
      <c r="E461" s="603">
        <f t="shared" si="101"/>
        <v>0</v>
      </c>
      <c r="F461" s="603">
        <f t="shared" si="101"/>
        <v>0</v>
      </c>
      <c r="G461" s="603">
        <f t="shared" si="101"/>
        <v>0</v>
      </c>
      <c r="H461" s="603">
        <f t="shared" si="101"/>
        <v>0</v>
      </c>
      <c r="I461" s="603">
        <f t="shared" si="101"/>
        <v>0</v>
      </c>
      <c r="J461" s="603">
        <f t="shared" si="101"/>
        <v>0</v>
      </c>
      <c r="K461" s="603">
        <f t="shared" si="101"/>
        <v>0</v>
      </c>
      <c r="L461" s="603">
        <f t="shared" si="101"/>
        <v>0</v>
      </c>
      <c r="M461" s="603">
        <f t="shared" si="101"/>
        <v>0</v>
      </c>
      <c r="N461" s="603">
        <f t="shared" si="101"/>
        <v>0</v>
      </c>
      <c r="O461" s="603">
        <f t="shared" si="101"/>
        <v>0</v>
      </c>
      <c r="P461" s="333">
        <f t="shared" ref="P461:P466" si="102">SUM(D461:O461)</f>
        <v>0</v>
      </c>
      <c r="S461" s="277"/>
      <c r="T461" s="277"/>
      <c r="U461" s="277"/>
      <c r="V461" s="277"/>
      <c r="W461" s="277"/>
      <c r="X461" s="277"/>
      <c r="Y461" s="277"/>
      <c r="Z461" s="277"/>
      <c r="AA461" s="277"/>
      <c r="AB461" s="277"/>
      <c r="AC461" s="277"/>
      <c r="AD461" s="277"/>
      <c r="AE461" s="277"/>
      <c r="AF461" s="277"/>
      <c r="AG461" s="277"/>
      <c r="AH461" s="277"/>
      <c r="AI461" s="277"/>
      <c r="AJ461" s="216"/>
      <c r="AK461" s="304"/>
      <c r="AL461" s="303"/>
      <c r="AM461" s="216"/>
      <c r="AN461" s="304"/>
      <c r="AO461" s="277"/>
      <c r="AP461" s="303"/>
      <c r="AQ461" s="303"/>
      <c r="AR461" s="304"/>
      <c r="AS461" s="303"/>
      <c r="AT461" s="303"/>
      <c r="AU461" s="303"/>
      <c r="AV461" s="303"/>
      <c r="AW461" s="213"/>
      <c r="AX461" s="213"/>
      <c r="AY461" s="213"/>
      <c r="AZ461" s="213"/>
      <c r="BA461" s="213"/>
      <c r="BB461" s="213"/>
      <c r="BC461" s="213"/>
      <c r="BD461" s="213"/>
      <c r="BE461" s="213"/>
      <c r="BF461" s="213"/>
      <c r="BG461" s="213"/>
      <c r="BH461" s="213"/>
      <c r="BI461" s="213"/>
      <c r="BJ461" s="213"/>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row>
    <row r="462" spans="1:243" ht="15.6">
      <c r="A462" s="170">
        <f t="shared" si="99"/>
        <v>73</v>
      </c>
      <c r="B462" s="327">
        <f t="shared" si="100"/>
        <v>312.10000000000002</v>
      </c>
      <c r="C462" s="906"/>
      <c r="D462" s="603">
        <f t="shared" si="101"/>
        <v>0</v>
      </c>
      <c r="E462" s="603">
        <f t="shared" si="101"/>
        <v>0</v>
      </c>
      <c r="F462" s="603">
        <f t="shared" si="101"/>
        <v>0</v>
      </c>
      <c r="G462" s="603">
        <f t="shared" si="101"/>
        <v>0</v>
      </c>
      <c r="H462" s="603">
        <f t="shared" si="101"/>
        <v>0</v>
      </c>
      <c r="I462" s="603">
        <f t="shared" si="101"/>
        <v>0</v>
      </c>
      <c r="J462" s="603">
        <f t="shared" si="101"/>
        <v>0</v>
      </c>
      <c r="K462" s="603">
        <f t="shared" si="101"/>
        <v>0</v>
      </c>
      <c r="L462" s="603">
        <f t="shared" si="101"/>
        <v>0</v>
      </c>
      <c r="M462" s="603">
        <f t="shared" si="101"/>
        <v>0</v>
      </c>
      <c r="N462" s="603">
        <f t="shared" si="101"/>
        <v>0</v>
      </c>
      <c r="O462" s="603">
        <f t="shared" si="101"/>
        <v>0</v>
      </c>
      <c r="P462" s="333">
        <f t="shared" si="102"/>
        <v>0</v>
      </c>
      <c r="S462" s="277"/>
      <c r="T462" s="277"/>
      <c r="U462" s="277"/>
      <c r="V462" s="277"/>
      <c r="W462" s="277"/>
      <c r="X462" s="277"/>
      <c r="Y462" s="277"/>
      <c r="Z462" s="277"/>
      <c r="AA462" s="277"/>
      <c r="AB462" s="277"/>
      <c r="AC462" s="277"/>
      <c r="AD462" s="277"/>
      <c r="AE462" s="277"/>
      <c r="AF462" s="277"/>
      <c r="AG462" s="277"/>
      <c r="AH462" s="277"/>
      <c r="AI462" s="277"/>
      <c r="AJ462" s="216"/>
      <c r="AK462" s="304"/>
      <c r="AL462" s="303"/>
      <c r="AM462" s="216"/>
      <c r="AN462" s="304"/>
      <c r="AO462" s="277"/>
      <c r="AP462" s="303"/>
      <c r="AQ462" s="303"/>
      <c r="AR462" s="304"/>
      <c r="AS462" s="303"/>
      <c r="AT462" s="303"/>
      <c r="AU462" s="303"/>
      <c r="AV462" s="303"/>
      <c r="AW462" s="213"/>
      <c r="AX462" s="213"/>
      <c r="AY462" s="213"/>
      <c r="AZ462" s="213"/>
      <c r="BA462" s="213"/>
      <c r="BB462" s="213"/>
      <c r="BC462" s="213"/>
      <c r="BD462" s="213"/>
      <c r="BE462" s="213"/>
      <c r="BF462" s="213"/>
      <c r="BG462" s="213"/>
      <c r="BH462" s="213"/>
      <c r="BI462" s="213"/>
      <c r="BJ462" s="213"/>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row>
    <row r="463" spans="1:243" ht="15.6">
      <c r="A463" s="170">
        <f t="shared" si="99"/>
        <v>74</v>
      </c>
      <c r="B463" s="327">
        <f t="shared" si="100"/>
        <v>312.2</v>
      </c>
      <c r="C463" s="906"/>
      <c r="D463" s="603">
        <f t="shared" si="101"/>
        <v>0</v>
      </c>
      <c r="E463" s="603">
        <f t="shared" si="101"/>
        <v>0</v>
      </c>
      <c r="F463" s="603">
        <f t="shared" si="101"/>
        <v>0</v>
      </c>
      <c r="G463" s="603">
        <f t="shared" si="101"/>
        <v>0</v>
      </c>
      <c r="H463" s="603">
        <f t="shared" si="101"/>
        <v>0</v>
      </c>
      <c r="I463" s="603">
        <f t="shared" si="101"/>
        <v>0</v>
      </c>
      <c r="J463" s="603">
        <f t="shared" si="101"/>
        <v>0</v>
      </c>
      <c r="K463" s="603">
        <f t="shared" si="101"/>
        <v>0</v>
      </c>
      <c r="L463" s="603">
        <f t="shared" si="101"/>
        <v>0</v>
      </c>
      <c r="M463" s="603">
        <f t="shared" si="101"/>
        <v>0</v>
      </c>
      <c r="N463" s="603">
        <f t="shared" si="101"/>
        <v>0</v>
      </c>
      <c r="O463" s="603">
        <f t="shared" si="101"/>
        <v>0</v>
      </c>
      <c r="P463" s="333">
        <f t="shared" si="102"/>
        <v>0</v>
      </c>
      <c r="S463" s="277"/>
      <c r="T463" s="277"/>
      <c r="U463" s="277"/>
      <c r="V463" s="277"/>
      <c r="W463" s="277"/>
      <c r="X463" s="277"/>
      <c r="Y463" s="277"/>
      <c r="Z463" s="277"/>
      <c r="AA463" s="277"/>
      <c r="AB463" s="277"/>
      <c r="AC463" s="277"/>
      <c r="AD463" s="277"/>
      <c r="AE463" s="277"/>
      <c r="AF463" s="277"/>
      <c r="AG463" s="277"/>
      <c r="AH463" s="277"/>
      <c r="AI463" s="277"/>
      <c r="AJ463" s="216"/>
      <c r="AK463" s="304"/>
      <c r="AL463" s="303"/>
      <c r="AM463" s="216"/>
      <c r="AN463" s="304"/>
      <c r="AO463" s="277"/>
      <c r="AP463" s="303"/>
      <c r="AQ463" s="303"/>
      <c r="AR463" s="304"/>
      <c r="AS463" s="303"/>
      <c r="AT463" s="303"/>
      <c r="AU463" s="303"/>
      <c r="AV463" s="303"/>
      <c r="AW463" s="213"/>
      <c r="AX463" s="213"/>
      <c r="AY463" s="213"/>
      <c r="AZ463" s="213"/>
      <c r="BA463" s="213"/>
      <c r="BB463" s="213"/>
      <c r="BC463" s="213"/>
      <c r="BD463" s="213"/>
      <c r="BE463" s="213"/>
      <c r="BF463" s="213"/>
      <c r="BG463" s="213"/>
      <c r="BH463" s="213"/>
      <c r="BI463" s="213"/>
      <c r="BJ463" s="21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row>
    <row r="464" spans="1:243" ht="15.6">
      <c r="A464" s="170">
        <f t="shared" si="99"/>
        <v>75</v>
      </c>
      <c r="B464" s="327">
        <f t="shared" si="100"/>
        <v>314</v>
      </c>
      <c r="C464" s="906"/>
      <c r="D464" s="603">
        <f t="shared" si="101"/>
        <v>0</v>
      </c>
      <c r="E464" s="603">
        <f t="shared" si="101"/>
        <v>0</v>
      </c>
      <c r="F464" s="603">
        <f t="shared" si="101"/>
        <v>0</v>
      </c>
      <c r="G464" s="603">
        <f t="shared" si="101"/>
        <v>0</v>
      </c>
      <c r="H464" s="603">
        <f t="shared" si="101"/>
        <v>0</v>
      </c>
      <c r="I464" s="603">
        <f t="shared" si="101"/>
        <v>0</v>
      </c>
      <c r="J464" s="603">
        <f t="shared" si="101"/>
        <v>0</v>
      </c>
      <c r="K464" s="603">
        <f t="shared" si="101"/>
        <v>0</v>
      </c>
      <c r="L464" s="603">
        <f t="shared" si="101"/>
        <v>0</v>
      </c>
      <c r="M464" s="603">
        <f t="shared" si="101"/>
        <v>0</v>
      </c>
      <c r="N464" s="603">
        <f t="shared" si="101"/>
        <v>0</v>
      </c>
      <c r="O464" s="603">
        <f t="shared" si="101"/>
        <v>0</v>
      </c>
      <c r="P464" s="333">
        <f t="shared" si="102"/>
        <v>0</v>
      </c>
      <c r="S464" s="277"/>
      <c r="T464" s="277"/>
      <c r="U464" s="277"/>
      <c r="V464" s="277"/>
      <c r="W464" s="277"/>
      <c r="X464" s="277"/>
      <c r="Y464" s="277"/>
      <c r="Z464" s="277"/>
      <c r="AA464" s="277"/>
      <c r="AB464" s="277"/>
      <c r="AC464" s="277"/>
      <c r="AD464" s="277"/>
      <c r="AE464" s="277"/>
      <c r="AF464" s="277"/>
      <c r="AG464" s="277"/>
      <c r="AH464" s="277"/>
      <c r="AI464" s="277"/>
      <c r="AJ464" s="216"/>
      <c r="AK464" s="304"/>
      <c r="AL464" s="303"/>
      <c r="AM464" s="216"/>
      <c r="AN464" s="304"/>
      <c r="AO464" s="277"/>
      <c r="AP464" s="303"/>
      <c r="AQ464" s="303"/>
      <c r="AR464" s="304"/>
      <c r="AS464" s="303"/>
      <c r="AT464" s="303"/>
      <c r="AU464" s="303"/>
      <c r="AV464" s="303"/>
      <c r="AW464" s="213"/>
      <c r="AX464" s="213"/>
      <c r="AY464" s="213"/>
      <c r="AZ464" s="213"/>
      <c r="BA464" s="213"/>
      <c r="BB464" s="213"/>
      <c r="BC464" s="213"/>
      <c r="BD464" s="213"/>
      <c r="BE464" s="213"/>
      <c r="BF464" s="213"/>
      <c r="BG464" s="213"/>
      <c r="BH464" s="213"/>
      <c r="BI464" s="213"/>
      <c r="BJ464" s="213"/>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row>
    <row r="465" spans="1:243" ht="15.6">
      <c r="A465" s="170">
        <f t="shared" si="99"/>
        <v>76</v>
      </c>
      <c r="B465" s="327">
        <f t="shared" si="100"/>
        <v>315</v>
      </c>
      <c r="C465" s="906"/>
      <c r="D465" s="603">
        <f t="shared" si="101"/>
        <v>0</v>
      </c>
      <c r="E465" s="603">
        <f t="shared" si="101"/>
        <v>0</v>
      </c>
      <c r="F465" s="603">
        <f t="shared" si="101"/>
        <v>0</v>
      </c>
      <c r="G465" s="603">
        <f t="shared" si="101"/>
        <v>0</v>
      </c>
      <c r="H465" s="603">
        <f t="shared" si="101"/>
        <v>0</v>
      </c>
      <c r="I465" s="603">
        <f t="shared" si="101"/>
        <v>0</v>
      </c>
      <c r="J465" s="603">
        <f t="shared" si="101"/>
        <v>0</v>
      </c>
      <c r="K465" s="603">
        <f t="shared" si="101"/>
        <v>0</v>
      </c>
      <c r="L465" s="603">
        <f t="shared" si="101"/>
        <v>0</v>
      </c>
      <c r="M465" s="603">
        <f t="shared" si="101"/>
        <v>0</v>
      </c>
      <c r="N465" s="603">
        <f t="shared" si="101"/>
        <v>0</v>
      </c>
      <c r="O465" s="603">
        <f t="shared" si="101"/>
        <v>0</v>
      </c>
      <c r="P465" s="333">
        <f t="shared" si="102"/>
        <v>0</v>
      </c>
      <c r="S465" s="277"/>
      <c r="T465" s="277"/>
      <c r="U465" s="277"/>
      <c r="V465" s="277"/>
      <c r="W465" s="277"/>
      <c r="X465" s="277"/>
      <c r="Y465" s="277"/>
      <c r="Z465" s="277"/>
      <c r="AA465" s="277"/>
      <c r="AB465" s="277"/>
      <c r="AC465" s="277"/>
      <c r="AD465" s="277"/>
      <c r="AE465" s="277"/>
      <c r="AF465" s="277"/>
      <c r="AG465" s="277"/>
      <c r="AH465" s="277"/>
      <c r="AI465" s="277"/>
      <c r="AJ465" s="216"/>
      <c r="AK465" s="304"/>
      <c r="AL465" s="303"/>
      <c r="AM465" s="216"/>
      <c r="AN465" s="304"/>
      <c r="AO465" s="277"/>
      <c r="AP465" s="303"/>
      <c r="AQ465" s="303"/>
      <c r="AR465" s="304"/>
      <c r="AS465" s="303"/>
      <c r="AT465" s="303"/>
      <c r="AU465" s="303"/>
      <c r="AV465" s="303"/>
      <c r="AW465" s="213"/>
      <c r="AX465" s="213"/>
      <c r="AY465" s="213"/>
      <c r="AZ465" s="213"/>
      <c r="BA465" s="213"/>
      <c r="BB465" s="213"/>
      <c r="BC465" s="213"/>
      <c r="BD465" s="213"/>
      <c r="BE465" s="213"/>
      <c r="BF465" s="213"/>
      <c r="BG465" s="213"/>
      <c r="BH465" s="213"/>
      <c r="BI465" s="213"/>
      <c r="BJ465" s="213"/>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row>
    <row r="466" spans="1:243" ht="15.6">
      <c r="A466" s="170">
        <f t="shared" si="99"/>
        <v>77</v>
      </c>
      <c r="B466" s="327">
        <f t="shared" si="100"/>
        <v>316</v>
      </c>
      <c r="C466" s="906"/>
      <c r="D466" s="603">
        <f t="shared" si="101"/>
        <v>0</v>
      </c>
      <c r="E466" s="603">
        <f t="shared" si="101"/>
        <v>0</v>
      </c>
      <c r="F466" s="603">
        <f t="shared" si="101"/>
        <v>0</v>
      </c>
      <c r="G466" s="603">
        <f t="shared" si="101"/>
        <v>0</v>
      </c>
      <c r="H466" s="603">
        <f t="shared" si="101"/>
        <v>0</v>
      </c>
      <c r="I466" s="603">
        <f t="shared" si="101"/>
        <v>0</v>
      </c>
      <c r="J466" s="603">
        <f t="shared" si="101"/>
        <v>0</v>
      </c>
      <c r="K466" s="603">
        <f t="shared" si="101"/>
        <v>0</v>
      </c>
      <c r="L466" s="603">
        <f t="shared" si="101"/>
        <v>0</v>
      </c>
      <c r="M466" s="603">
        <f t="shared" si="101"/>
        <v>0</v>
      </c>
      <c r="N466" s="603">
        <f t="shared" si="101"/>
        <v>0</v>
      </c>
      <c r="O466" s="603">
        <f t="shared" si="101"/>
        <v>0</v>
      </c>
      <c r="P466" s="333">
        <f t="shared" si="102"/>
        <v>0</v>
      </c>
      <c r="S466" s="277"/>
      <c r="T466" s="277"/>
      <c r="U466" s="277"/>
      <c r="V466" s="277"/>
      <c r="W466" s="277"/>
      <c r="X466" s="277"/>
      <c r="Y466" s="277"/>
      <c r="Z466" s="277"/>
      <c r="AA466" s="277"/>
      <c r="AB466" s="277"/>
      <c r="AC466" s="277"/>
      <c r="AD466" s="277"/>
      <c r="AE466" s="277"/>
      <c r="AF466" s="277"/>
      <c r="AG466" s="277"/>
      <c r="AH466" s="277"/>
      <c r="AI466" s="277"/>
      <c r="AJ466" s="216"/>
      <c r="AK466" s="304"/>
      <c r="AL466" s="303"/>
      <c r="AM466" s="216"/>
      <c r="AN466" s="304"/>
      <c r="AO466" s="277"/>
      <c r="AP466" s="303"/>
      <c r="AQ466" s="303"/>
      <c r="AR466" s="304"/>
      <c r="AS466" s="303"/>
      <c r="AT466" s="303"/>
      <c r="AU466" s="303"/>
      <c r="AV466" s="303"/>
      <c r="AW466" s="213"/>
      <c r="AX466" s="213"/>
      <c r="AY466" s="213"/>
      <c r="AZ466" s="213"/>
      <c r="BA466" s="213"/>
      <c r="BB466" s="213"/>
      <c r="BC466" s="213"/>
      <c r="BD466" s="213"/>
      <c r="BE466" s="213"/>
      <c r="BF466" s="213"/>
      <c r="BG466" s="213"/>
      <c r="BH466" s="213"/>
      <c r="BI466" s="213"/>
      <c r="BJ466" s="213"/>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row>
    <row r="467" spans="1:243" ht="15.6">
      <c r="A467" s="355"/>
      <c r="B467" s="287"/>
      <c r="C467" s="287"/>
      <c r="D467" s="287"/>
      <c r="E467" s="287"/>
      <c r="F467" s="287"/>
      <c r="G467" s="287"/>
      <c r="H467" s="287"/>
      <c r="I467" s="287"/>
      <c r="J467" s="287"/>
      <c r="K467" s="334"/>
      <c r="L467" s="287"/>
      <c r="M467" s="287"/>
      <c r="N467" s="287"/>
      <c r="O467" s="287"/>
      <c r="P467" s="339"/>
      <c r="S467" s="277"/>
      <c r="T467" s="277"/>
      <c r="U467" s="277"/>
      <c r="V467" s="277"/>
      <c r="W467" s="277"/>
      <c r="X467" s="277"/>
      <c r="Y467" s="277"/>
      <c r="Z467" s="277"/>
      <c r="AA467" s="277"/>
      <c r="AB467" s="277"/>
      <c r="AC467" s="277"/>
      <c r="AD467" s="277"/>
      <c r="AE467" s="277"/>
      <c r="AF467" s="277"/>
      <c r="AG467" s="277"/>
      <c r="AH467" s="277"/>
      <c r="AI467" s="277"/>
      <c r="AJ467" s="216"/>
      <c r="AK467" s="304"/>
      <c r="AL467" s="303"/>
      <c r="AM467" s="216"/>
      <c r="AN467" s="304"/>
      <c r="AO467" s="277"/>
      <c r="AP467" s="303"/>
      <c r="AQ467" s="303"/>
      <c r="AR467" s="304"/>
      <c r="AS467" s="303"/>
      <c r="AT467" s="303"/>
      <c r="AU467" s="303"/>
      <c r="AV467" s="303"/>
      <c r="AW467" s="213"/>
      <c r="AX467" s="213"/>
      <c r="AY467" s="213"/>
      <c r="AZ467" s="213"/>
      <c r="BA467" s="213"/>
      <c r="BB467" s="213"/>
      <c r="BC467" s="213"/>
      <c r="BD467" s="213"/>
      <c r="BE467" s="213"/>
      <c r="BF467" s="213"/>
      <c r="BG467" s="213"/>
      <c r="BH467" s="213"/>
      <c r="BI467" s="213"/>
      <c r="BJ467" s="213"/>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row>
    <row r="468" spans="1:243" ht="18.600000000000001">
      <c r="A468" s="355"/>
      <c r="B468" s="355" t="s">
        <v>1078</v>
      </c>
      <c r="C468" s="334" t="s">
        <v>730</v>
      </c>
      <c r="D468" s="1778" t="s">
        <v>731</v>
      </c>
      <c r="E468" s="1779"/>
      <c r="F468" s="1779"/>
      <c r="G468" s="1779"/>
      <c r="H468" s="1779"/>
      <c r="I468" s="1779"/>
      <c r="J468" s="1779"/>
      <c r="K468" s="1779"/>
      <c r="L468" s="1779"/>
      <c r="M468" s="1779"/>
      <c r="N468" s="1779"/>
      <c r="O468" s="1779"/>
      <c r="P468" s="1779"/>
      <c r="S468" s="277"/>
      <c r="T468" s="277"/>
      <c r="U468" s="277"/>
      <c r="V468" s="277"/>
      <c r="W468" s="277"/>
      <c r="X468" s="277"/>
      <c r="Y468" s="277"/>
      <c r="Z468" s="277"/>
      <c r="AA468" s="277"/>
      <c r="AB468" s="277"/>
      <c r="AC468" s="277"/>
      <c r="AD468" s="277"/>
      <c r="AE468" s="277"/>
      <c r="AF468" s="277"/>
      <c r="AG468" s="277"/>
      <c r="AH468" s="277"/>
      <c r="AI468" s="277"/>
      <c r="AJ468" s="216"/>
      <c r="AK468" s="304"/>
      <c r="AL468" s="303"/>
      <c r="AM468" s="216"/>
      <c r="AN468" s="304"/>
      <c r="AO468" s="277"/>
      <c r="AP468" s="303"/>
      <c r="AQ468" s="303"/>
      <c r="AR468" s="304"/>
      <c r="AS468" s="303"/>
      <c r="AT468" s="303"/>
      <c r="AU468" s="303"/>
      <c r="AV468" s="303"/>
      <c r="AW468" s="213"/>
      <c r="AX468" s="213"/>
      <c r="AY468" s="213"/>
      <c r="AZ468" s="213"/>
      <c r="BA468" s="213"/>
      <c r="BB468" s="213"/>
      <c r="BC468" s="213"/>
      <c r="BD468" s="213"/>
      <c r="BE468" s="213"/>
      <c r="BF468" s="213"/>
      <c r="BG468" s="213"/>
      <c r="BH468" s="213"/>
      <c r="BI468" s="213"/>
      <c r="BJ468" s="213"/>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row>
    <row r="469" spans="1:243" ht="18.600000000000001">
      <c r="A469" s="355"/>
      <c r="B469" s="322" t="s">
        <v>928</v>
      </c>
      <c r="C469" s="335" t="s">
        <v>732</v>
      </c>
      <c r="D469" s="358" t="s">
        <v>716</v>
      </c>
      <c r="E469" s="358" t="s">
        <v>717</v>
      </c>
      <c r="F469" s="358" t="s">
        <v>718</v>
      </c>
      <c r="G469" s="358" t="s">
        <v>719</v>
      </c>
      <c r="H469" s="358" t="s">
        <v>720</v>
      </c>
      <c r="I469" s="358" t="s">
        <v>721</v>
      </c>
      <c r="J469" s="358" t="s">
        <v>722</v>
      </c>
      <c r="K469" s="358" t="s">
        <v>723</v>
      </c>
      <c r="L469" s="358" t="s">
        <v>724</v>
      </c>
      <c r="M469" s="358" t="s">
        <v>725</v>
      </c>
      <c r="N469" s="358" t="s">
        <v>726</v>
      </c>
      <c r="O469" s="358" t="s">
        <v>715</v>
      </c>
      <c r="P469" s="360" t="s">
        <v>628</v>
      </c>
      <c r="S469" s="277"/>
      <c r="T469" s="277"/>
      <c r="U469" s="277"/>
      <c r="V469" s="277"/>
      <c r="W469" s="277"/>
      <c r="X469" s="277"/>
      <c r="Y469" s="277"/>
      <c r="Z469" s="277"/>
      <c r="AA469" s="277"/>
      <c r="AB469" s="277"/>
      <c r="AC469" s="277"/>
      <c r="AD469" s="277"/>
      <c r="AE469" s="277"/>
      <c r="AF469" s="277"/>
      <c r="AG469" s="277"/>
      <c r="AH469" s="277"/>
      <c r="AI469" s="277"/>
      <c r="AJ469" s="216"/>
      <c r="AK469" s="304"/>
      <c r="AL469" s="303"/>
      <c r="AM469" s="216"/>
      <c r="AN469" s="304"/>
      <c r="AO469" s="277"/>
      <c r="AP469" s="303"/>
      <c r="AQ469" s="303"/>
      <c r="AR469" s="304"/>
      <c r="AS469" s="303"/>
      <c r="AT469" s="303"/>
      <c r="AU469" s="303"/>
      <c r="AV469" s="303"/>
      <c r="AW469" s="213"/>
      <c r="AX469" s="213"/>
      <c r="AY469" s="213"/>
      <c r="AZ469" s="213"/>
      <c r="BA469" s="213"/>
      <c r="BB469" s="213"/>
      <c r="BC469" s="213"/>
      <c r="BD469" s="213"/>
      <c r="BE469" s="213"/>
      <c r="BF469" s="213"/>
      <c r="BG469" s="213"/>
      <c r="BH469" s="213"/>
      <c r="BI469" s="213"/>
      <c r="BJ469" s="213"/>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row>
    <row r="470" spans="1:243" ht="15.6">
      <c r="A470" s="170">
        <f>A466+1</f>
        <v>78</v>
      </c>
      <c r="B470" s="327">
        <f>B450</f>
        <v>311</v>
      </c>
      <c r="C470" s="907">
        <v>0</v>
      </c>
      <c r="D470" s="603">
        <f>C470+D460</f>
        <v>0</v>
      </c>
      <c r="E470" s="603">
        <f t="shared" ref="E470:O476" si="103">D470+E460</f>
        <v>0</v>
      </c>
      <c r="F470" s="603">
        <f t="shared" si="103"/>
        <v>0</v>
      </c>
      <c r="G470" s="603">
        <f t="shared" si="103"/>
        <v>0</v>
      </c>
      <c r="H470" s="603">
        <f t="shared" si="103"/>
        <v>0</v>
      </c>
      <c r="I470" s="603">
        <f t="shared" si="103"/>
        <v>0</v>
      </c>
      <c r="J470" s="603">
        <f t="shared" si="103"/>
        <v>0</v>
      </c>
      <c r="K470" s="603">
        <f t="shared" si="103"/>
        <v>0</v>
      </c>
      <c r="L470" s="603">
        <f t="shared" si="103"/>
        <v>0</v>
      </c>
      <c r="M470" s="603">
        <f t="shared" si="103"/>
        <v>0</v>
      </c>
      <c r="N470" s="603">
        <f t="shared" si="103"/>
        <v>0</v>
      </c>
      <c r="O470" s="603">
        <f t="shared" si="103"/>
        <v>0</v>
      </c>
      <c r="P470" s="333">
        <f>O470</f>
        <v>0</v>
      </c>
      <c r="S470" s="277"/>
      <c r="T470" s="277"/>
      <c r="U470" s="277"/>
      <c r="V470" s="277"/>
      <c r="W470" s="277"/>
      <c r="X470" s="277"/>
      <c r="Y470" s="277"/>
      <c r="Z470" s="277"/>
      <c r="AA470" s="277"/>
      <c r="AB470" s="277"/>
      <c r="AC470" s="277"/>
      <c r="AD470" s="277"/>
      <c r="AE470" s="277"/>
      <c r="AF470" s="277"/>
      <c r="AG470" s="277"/>
      <c r="AH470" s="277"/>
      <c r="AI470" s="277"/>
      <c r="AJ470" s="216"/>
      <c r="AK470" s="304"/>
      <c r="AL470" s="303"/>
      <c r="AM470" s="216"/>
      <c r="AN470" s="304"/>
      <c r="AO470" s="277"/>
      <c r="AP470" s="303"/>
      <c r="AQ470" s="303"/>
      <c r="AR470" s="304"/>
      <c r="AS470" s="303"/>
      <c r="AT470" s="303"/>
      <c r="AU470" s="303"/>
      <c r="AV470" s="303"/>
      <c r="AW470" s="213"/>
      <c r="AX470" s="213"/>
      <c r="AY470" s="213"/>
      <c r="AZ470" s="213"/>
      <c r="BA470" s="213"/>
      <c r="BB470" s="213"/>
      <c r="BC470" s="213"/>
      <c r="BD470" s="213"/>
      <c r="BE470" s="213"/>
      <c r="BF470" s="213"/>
      <c r="BG470" s="213"/>
      <c r="BH470" s="213"/>
      <c r="BI470" s="213"/>
      <c r="BJ470" s="213"/>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row>
    <row r="471" spans="1:243" ht="15.6">
      <c r="A471" s="170">
        <f t="shared" ref="A471:A476" si="104">A470+1</f>
        <v>79</v>
      </c>
      <c r="B471" s="327">
        <f t="shared" ref="B471:B476" si="105">B451</f>
        <v>312</v>
      </c>
      <c r="C471" s="907">
        <v>0</v>
      </c>
      <c r="D471" s="603">
        <f t="shared" ref="D471:D476" si="106">C471+D461</f>
        <v>0</v>
      </c>
      <c r="E471" s="603">
        <f t="shared" si="103"/>
        <v>0</v>
      </c>
      <c r="F471" s="603">
        <f t="shared" si="103"/>
        <v>0</v>
      </c>
      <c r="G471" s="603">
        <f t="shared" si="103"/>
        <v>0</v>
      </c>
      <c r="H471" s="603">
        <f t="shared" si="103"/>
        <v>0</v>
      </c>
      <c r="I471" s="603">
        <f t="shared" si="103"/>
        <v>0</v>
      </c>
      <c r="J471" s="603">
        <f t="shared" si="103"/>
        <v>0</v>
      </c>
      <c r="K471" s="603">
        <f t="shared" si="103"/>
        <v>0</v>
      </c>
      <c r="L471" s="603">
        <f t="shared" si="103"/>
        <v>0</v>
      </c>
      <c r="M471" s="603">
        <f t="shared" si="103"/>
        <v>0</v>
      </c>
      <c r="N471" s="603">
        <f t="shared" si="103"/>
        <v>0</v>
      </c>
      <c r="O471" s="603">
        <f t="shared" si="103"/>
        <v>0</v>
      </c>
      <c r="P471" s="333">
        <f t="shared" ref="P471:P476" si="107">O471</f>
        <v>0</v>
      </c>
      <c r="S471" s="277"/>
      <c r="T471" s="277"/>
      <c r="U471" s="277"/>
      <c r="V471" s="277"/>
      <c r="W471" s="277"/>
      <c r="X471" s="277"/>
      <c r="Y471" s="277"/>
      <c r="Z471" s="277"/>
      <c r="AA471" s="277"/>
      <c r="AB471" s="277"/>
      <c r="AC471" s="277"/>
      <c r="AD471" s="277"/>
      <c r="AE471" s="277"/>
      <c r="AF471" s="277"/>
      <c r="AG471" s="277"/>
      <c r="AH471" s="277"/>
      <c r="AI471" s="277"/>
      <c r="AJ471" s="216"/>
      <c r="AK471" s="304"/>
      <c r="AL471" s="303"/>
      <c r="AM471" s="216"/>
      <c r="AN471" s="304"/>
      <c r="AO471" s="277"/>
      <c r="AP471" s="303"/>
      <c r="AQ471" s="303"/>
      <c r="AR471" s="304"/>
      <c r="AS471" s="303"/>
      <c r="AT471" s="303"/>
      <c r="AU471" s="303"/>
      <c r="AV471" s="303"/>
      <c r="AW471" s="213"/>
      <c r="AX471" s="213"/>
      <c r="AY471" s="213"/>
      <c r="AZ471" s="213"/>
      <c r="BA471" s="213"/>
      <c r="BB471" s="213"/>
      <c r="BC471" s="213"/>
      <c r="BD471" s="213"/>
      <c r="BE471" s="213"/>
      <c r="BF471" s="213"/>
      <c r="BG471" s="213"/>
      <c r="BH471" s="213"/>
      <c r="BI471" s="213"/>
      <c r="BJ471" s="213"/>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row>
    <row r="472" spans="1:243" ht="15.6">
      <c r="A472" s="170">
        <f t="shared" si="104"/>
        <v>80</v>
      </c>
      <c r="B472" s="327">
        <f t="shared" si="105"/>
        <v>312.10000000000002</v>
      </c>
      <c r="C472" s="907">
        <v>0</v>
      </c>
      <c r="D472" s="603">
        <f t="shared" si="106"/>
        <v>0</v>
      </c>
      <c r="E472" s="603">
        <f t="shared" si="103"/>
        <v>0</v>
      </c>
      <c r="F472" s="603">
        <f t="shared" si="103"/>
        <v>0</v>
      </c>
      <c r="G472" s="603">
        <f t="shared" si="103"/>
        <v>0</v>
      </c>
      <c r="H472" s="603">
        <f t="shared" si="103"/>
        <v>0</v>
      </c>
      <c r="I472" s="603">
        <f t="shared" si="103"/>
        <v>0</v>
      </c>
      <c r="J472" s="603">
        <f t="shared" si="103"/>
        <v>0</v>
      </c>
      <c r="K472" s="603">
        <f t="shared" si="103"/>
        <v>0</v>
      </c>
      <c r="L472" s="603">
        <f t="shared" si="103"/>
        <v>0</v>
      </c>
      <c r="M472" s="603">
        <f t="shared" si="103"/>
        <v>0</v>
      </c>
      <c r="N472" s="603">
        <f t="shared" si="103"/>
        <v>0</v>
      </c>
      <c r="O472" s="603">
        <f t="shared" si="103"/>
        <v>0</v>
      </c>
      <c r="P472" s="333">
        <f t="shared" si="107"/>
        <v>0</v>
      </c>
      <c r="S472" s="277"/>
      <c r="T472" s="277"/>
      <c r="U472" s="277"/>
      <c r="V472" s="277"/>
      <c r="W472" s="277"/>
      <c r="X472" s="277"/>
      <c r="Y472" s="277"/>
      <c r="Z472" s="277"/>
      <c r="AA472" s="277"/>
      <c r="AB472" s="277"/>
      <c r="AC472" s="277"/>
      <c r="AD472" s="277"/>
      <c r="AE472" s="277"/>
      <c r="AF472" s="277"/>
      <c r="AG472" s="277"/>
      <c r="AH472" s="277"/>
      <c r="AI472" s="277"/>
      <c r="AJ472" s="216"/>
      <c r="AK472" s="304"/>
      <c r="AL472" s="303"/>
      <c r="AM472" s="216"/>
      <c r="AN472" s="304"/>
      <c r="AO472" s="277"/>
      <c r="AP472" s="303"/>
      <c r="AQ472" s="303"/>
      <c r="AR472" s="304"/>
      <c r="AS472" s="303"/>
      <c r="AT472" s="303"/>
      <c r="AU472" s="303"/>
      <c r="AV472" s="303"/>
      <c r="AW472" s="213"/>
      <c r="AX472" s="213"/>
      <c r="AY472" s="213"/>
      <c r="AZ472" s="213"/>
      <c r="BA472" s="213"/>
      <c r="BB472" s="213"/>
      <c r="BC472" s="213"/>
      <c r="BD472" s="213"/>
      <c r="BE472" s="213"/>
      <c r="BF472" s="213"/>
      <c r="BG472" s="213"/>
      <c r="BH472" s="213"/>
      <c r="BI472" s="213"/>
      <c r="BJ472" s="213"/>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row>
    <row r="473" spans="1:243" ht="15.6">
      <c r="A473" s="170">
        <f t="shared" si="104"/>
        <v>81</v>
      </c>
      <c r="B473" s="327">
        <f t="shared" si="105"/>
        <v>312.2</v>
      </c>
      <c r="C473" s="907">
        <v>0</v>
      </c>
      <c r="D473" s="603">
        <f t="shared" si="106"/>
        <v>0</v>
      </c>
      <c r="E473" s="603">
        <f t="shared" si="103"/>
        <v>0</v>
      </c>
      <c r="F473" s="603">
        <f t="shared" si="103"/>
        <v>0</v>
      </c>
      <c r="G473" s="603">
        <f t="shared" si="103"/>
        <v>0</v>
      </c>
      <c r="H473" s="603">
        <f t="shared" si="103"/>
        <v>0</v>
      </c>
      <c r="I473" s="603">
        <f t="shared" si="103"/>
        <v>0</v>
      </c>
      <c r="J473" s="603">
        <f t="shared" si="103"/>
        <v>0</v>
      </c>
      <c r="K473" s="603">
        <f t="shared" si="103"/>
        <v>0</v>
      </c>
      <c r="L473" s="603">
        <f t="shared" si="103"/>
        <v>0</v>
      </c>
      <c r="M473" s="603">
        <f t="shared" si="103"/>
        <v>0</v>
      </c>
      <c r="N473" s="603">
        <f t="shared" si="103"/>
        <v>0</v>
      </c>
      <c r="O473" s="603">
        <f t="shared" si="103"/>
        <v>0</v>
      </c>
      <c r="P473" s="333">
        <f t="shared" si="107"/>
        <v>0</v>
      </c>
      <c r="S473" s="277"/>
      <c r="T473" s="277"/>
      <c r="U473" s="277"/>
      <c r="V473" s="277"/>
      <c r="W473" s="277"/>
      <c r="X473" s="277"/>
      <c r="Y473" s="277"/>
      <c r="Z473" s="277"/>
      <c r="AA473" s="277"/>
      <c r="AB473" s="277"/>
      <c r="AC473" s="277"/>
      <c r="AD473" s="277"/>
      <c r="AE473" s="277"/>
      <c r="AF473" s="277"/>
      <c r="AG473" s="277"/>
      <c r="AH473" s="277"/>
      <c r="AI473" s="277"/>
      <c r="AJ473" s="216"/>
      <c r="AK473" s="304"/>
      <c r="AL473" s="303"/>
      <c r="AM473" s="216"/>
      <c r="AN473" s="304"/>
      <c r="AO473" s="277"/>
      <c r="AP473" s="303"/>
      <c r="AQ473" s="303"/>
      <c r="AR473" s="304"/>
      <c r="AS473" s="303"/>
      <c r="AT473" s="303"/>
      <c r="AU473" s="303"/>
      <c r="AV473" s="303"/>
      <c r="AW473" s="213"/>
      <c r="AX473" s="213"/>
      <c r="AY473" s="213"/>
      <c r="AZ473" s="213"/>
      <c r="BA473" s="213"/>
      <c r="BB473" s="213"/>
      <c r="BC473" s="213"/>
      <c r="BD473" s="213"/>
      <c r="BE473" s="213"/>
      <c r="BF473" s="213"/>
      <c r="BG473" s="213"/>
      <c r="BH473" s="213"/>
      <c r="BI473" s="213"/>
      <c r="BJ473" s="21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row>
    <row r="474" spans="1:243" ht="15.6">
      <c r="A474" s="170">
        <f t="shared" si="104"/>
        <v>82</v>
      </c>
      <c r="B474" s="327">
        <f t="shared" si="105"/>
        <v>314</v>
      </c>
      <c r="C474" s="907">
        <v>0</v>
      </c>
      <c r="D474" s="603">
        <f t="shared" si="106"/>
        <v>0</v>
      </c>
      <c r="E474" s="603">
        <f t="shared" si="103"/>
        <v>0</v>
      </c>
      <c r="F474" s="603">
        <f t="shared" si="103"/>
        <v>0</v>
      </c>
      <c r="G474" s="603">
        <f t="shared" si="103"/>
        <v>0</v>
      </c>
      <c r="H474" s="603">
        <f t="shared" si="103"/>
        <v>0</v>
      </c>
      <c r="I474" s="603">
        <f t="shared" si="103"/>
        <v>0</v>
      </c>
      <c r="J474" s="603">
        <f t="shared" si="103"/>
        <v>0</v>
      </c>
      <c r="K474" s="603">
        <f t="shared" si="103"/>
        <v>0</v>
      </c>
      <c r="L474" s="603">
        <f t="shared" si="103"/>
        <v>0</v>
      </c>
      <c r="M474" s="603">
        <f t="shared" si="103"/>
        <v>0</v>
      </c>
      <c r="N474" s="603">
        <f t="shared" si="103"/>
        <v>0</v>
      </c>
      <c r="O474" s="603">
        <f t="shared" si="103"/>
        <v>0</v>
      </c>
      <c r="P474" s="333">
        <f t="shared" si="107"/>
        <v>0</v>
      </c>
      <c r="S474" s="277"/>
      <c r="T474" s="277"/>
      <c r="U474" s="277"/>
      <c r="V474" s="277"/>
      <c r="W474" s="277"/>
      <c r="X474" s="277"/>
      <c r="Y474" s="277"/>
      <c r="Z474" s="277"/>
      <c r="AA474" s="277"/>
      <c r="AB474" s="277"/>
      <c r="AC474" s="277"/>
      <c r="AD474" s="277"/>
      <c r="AE474" s="277"/>
      <c r="AF474" s="277"/>
      <c r="AG474" s="277"/>
      <c r="AH474" s="277"/>
      <c r="AI474" s="277"/>
      <c r="AJ474" s="216"/>
      <c r="AK474" s="304"/>
      <c r="AL474" s="303"/>
      <c r="AM474" s="216"/>
      <c r="AN474" s="304"/>
      <c r="AO474" s="277"/>
      <c r="AP474" s="303"/>
      <c r="AQ474" s="303"/>
      <c r="AR474" s="304"/>
      <c r="AS474" s="303"/>
      <c r="AT474" s="303"/>
      <c r="AU474" s="303"/>
      <c r="AV474" s="303"/>
      <c r="AW474" s="213"/>
      <c r="AX474" s="213"/>
      <c r="AY474" s="213"/>
      <c r="AZ474" s="213"/>
      <c r="BA474" s="213"/>
      <c r="BB474" s="213"/>
      <c r="BC474" s="213"/>
      <c r="BD474" s="213"/>
      <c r="BE474" s="213"/>
      <c r="BF474" s="213"/>
      <c r="BG474" s="213"/>
      <c r="BH474" s="213"/>
      <c r="BI474" s="213"/>
      <c r="BJ474" s="213"/>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row>
    <row r="475" spans="1:243" ht="15.6">
      <c r="A475" s="170">
        <f t="shared" si="104"/>
        <v>83</v>
      </c>
      <c r="B475" s="327">
        <f t="shared" si="105"/>
        <v>315</v>
      </c>
      <c r="C475" s="907">
        <v>0</v>
      </c>
      <c r="D475" s="603">
        <f t="shared" si="106"/>
        <v>0</v>
      </c>
      <c r="E475" s="603">
        <f t="shared" si="103"/>
        <v>0</v>
      </c>
      <c r="F475" s="603">
        <f t="shared" si="103"/>
        <v>0</v>
      </c>
      <c r="G475" s="603">
        <f t="shared" si="103"/>
        <v>0</v>
      </c>
      <c r="H475" s="603">
        <f t="shared" si="103"/>
        <v>0</v>
      </c>
      <c r="I475" s="603">
        <f t="shared" si="103"/>
        <v>0</v>
      </c>
      <c r="J475" s="603">
        <f t="shared" si="103"/>
        <v>0</v>
      </c>
      <c r="K475" s="603">
        <f t="shared" si="103"/>
        <v>0</v>
      </c>
      <c r="L475" s="603">
        <f t="shared" si="103"/>
        <v>0</v>
      </c>
      <c r="M475" s="603">
        <f t="shared" si="103"/>
        <v>0</v>
      </c>
      <c r="N475" s="603">
        <f t="shared" si="103"/>
        <v>0</v>
      </c>
      <c r="O475" s="603">
        <f t="shared" si="103"/>
        <v>0</v>
      </c>
      <c r="P475" s="333">
        <f t="shared" si="107"/>
        <v>0</v>
      </c>
      <c r="S475" s="277"/>
      <c r="T475" s="277"/>
      <c r="U475" s="277"/>
      <c r="V475" s="277"/>
      <c r="W475" s="277"/>
      <c r="X475" s="277"/>
      <c r="Y475" s="277"/>
      <c r="Z475" s="277"/>
      <c r="AA475" s="277"/>
      <c r="AB475" s="277"/>
      <c r="AC475" s="277"/>
      <c r="AD475" s="277"/>
      <c r="AE475" s="277"/>
      <c r="AF475" s="277"/>
      <c r="AG475" s="277"/>
      <c r="AH475" s="277"/>
      <c r="AI475" s="277"/>
      <c r="AJ475" s="216"/>
      <c r="AK475" s="304"/>
      <c r="AL475" s="303"/>
      <c r="AM475" s="216"/>
      <c r="AN475" s="304"/>
      <c r="AO475" s="277"/>
      <c r="AP475" s="303"/>
      <c r="AQ475" s="303"/>
      <c r="AR475" s="304"/>
      <c r="AS475" s="303"/>
      <c r="AT475" s="303"/>
      <c r="AU475" s="303"/>
      <c r="AV475" s="303"/>
      <c r="AW475" s="213"/>
      <c r="AX475" s="213"/>
      <c r="AY475" s="213"/>
      <c r="AZ475" s="213"/>
      <c r="BA475" s="213"/>
      <c r="BB475" s="213"/>
      <c r="BC475" s="213"/>
      <c r="BD475" s="213"/>
      <c r="BE475" s="213"/>
      <c r="BF475" s="213"/>
      <c r="BG475" s="213"/>
      <c r="BH475" s="213"/>
      <c r="BI475" s="213"/>
      <c r="BJ475" s="213"/>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row>
    <row r="476" spans="1:243" ht="15.6">
      <c r="A476" s="170">
        <f t="shared" si="104"/>
        <v>84</v>
      </c>
      <c r="B476" s="327">
        <f t="shared" si="105"/>
        <v>316</v>
      </c>
      <c r="C476" s="907">
        <v>0</v>
      </c>
      <c r="D476" s="603">
        <f t="shared" si="106"/>
        <v>0</v>
      </c>
      <c r="E476" s="603">
        <f t="shared" si="103"/>
        <v>0</v>
      </c>
      <c r="F476" s="603">
        <f t="shared" si="103"/>
        <v>0</v>
      </c>
      <c r="G476" s="603">
        <f t="shared" si="103"/>
        <v>0</v>
      </c>
      <c r="H476" s="603">
        <f t="shared" si="103"/>
        <v>0</v>
      </c>
      <c r="I476" s="603">
        <f t="shared" si="103"/>
        <v>0</v>
      </c>
      <c r="J476" s="603">
        <f t="shared" si="103"/>
        <v>0</v>
      </c>
      <c r="K476" s="603">
        <f t="shared" si="103"/>
        <v>0</v>
      </c>
      <c r="L476" s="603">
        <f t="shared" si="103"/>
        <v>0</v>
      </c>
      <c r="M476" s="603">
        <f t="shared" si="103"/>
        <v>0</v>
      </c>
      <c r="N476" s="603">
        <f t="shared" si="103"/>
        <v>0</v>
      </c>
      <c r="O476" s="603">
        <f t="shared" si="103"/>
        <v>0</v>
      </c>
      <c r="P476" s="333">
        <f t="shared" si="107"/>
        <v>0</v>
      </c>
      <c r="S476" s="277"/>
      <c r="T476" s="277"/>
      <c r="U476" s="277"/>
      <c r="V476" s="277"/>
      <c r="W476" s="277"/>
      <c r="X476" s="277"/>
      <c r="Y476" s="277"/>
      <c r="Z476" s="277"/>
      <c r="AA476" s="277"/>
      <c r="AB476" s="277"/>
      <c r="AC476" s="277"/>
      <c r="AD476" s="277"/>
      <c r="AE476" s="277"/>
      <c r="AF476" s="277"/>
      <c r="AG476" s="277"/>
      <c r="AH476" s="277"/>
      <c r="AI476" s="277"/>
      <c r="AJ476" s="216"/>
      <c r="AK476" s="304"/>
      <c r="AL476" s="303"/>
      <c r="AM476" s="216"/>
      <c r="AN476" s="304"/>
      <c r="AO476" s="277"/>
      <c r="AP476" s="303"/>
      <c r="AQ476" s="303"/>
      <c r="AR476" s="304"/>
      <c r="AS476" s="303"/>
      <c r="AT476" s="303"/>
      <c r="AU476" s="303"/>
      <c r="AV476" s="303"/>
      <c r="AW476" s="213"/>
      <c r="AX476" s="213"/>
      <c r="AY476" s="213"/>
      <c r="AZ476" s="213"/>
      <c r="BA476" s="213"/>
      <c r="BB476" s="213"/>
      <c r="BC476" s="213"/>
      <c r="BD476" s="213"/>
      <c r="BE476" s="213"/>
      <c r="BF476" s="213"/>
      <c r="BG476" s="213"/>
      <c r="BH476" s="213"/>
      <c r="BI476" s="213"/>
      <c r="BJ476" s="213"/>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row>
    <row r="477" spans="1:243" ht="15.6">
      <c r="A477" s="170"/>
      <c r="B477" s="327"/>
      <c r="C477" s="328"/>
      <c r="D477" s="328"/>
      <c r="E477" s="328"/>
      <c r="F477" s="328"/>
      <c r="G477" s="328"/>
      <c r="H477" s="328"/>
      <c r="I477" s="328"/>
      <c r="J477" s="328"/>
      <c r="K477" s="328"/>
      <c r="L477" s="328"/>
      <c r="M477" s="328"/>
      <c r="N477" s="328"/>
      <c r="O477" s="328"/>
      <c r="P477" s="333"/>
      <c r="S477" s="277"/>
      <c r="T477" s="277"/>
      <c r="U477" s="277"/>
      <c r="V477" s="277"/>
      <c r="W477" s="277"/>
      <c r="X477" s="277"/>
      <c r="Y477" s="277"/>
      <c r="Z477" s="277"/>
      <c r="AA477" s="277"/>
      <c r="AB477" s="277"/>
      <c r="AC477" s="277"/>
      <c r="AD477" s="277"/>
      <c r="AE477" s="277"/>
      <c r="AF477" s="277"/>
      <c r="AG477" s="277"/>
      <c r="AH477" s="277"/>
      <c r="AI477" s="277"/>
      <c r="AJ477" s="216"/>
      <c r="AK477" s="304"/>
      <c r="AL477" s="303"/>
      <c r="AM477" s="216"/>
      <c r="AN477" s="304"/>
      <c r="AO477" s="277"/>
      <c r="AP477" s="303"/>
      <c r="AQ477" s="303"/>
      <c r="AR477" s="304"/>
      <c r="AS477" s="303"/>
      <c r="AT477" s="303"/>
      <c r="AU477" s="303"/>
      <c r="AV477" s="303"/>
      <c r="AW477" s="213"/>
      <c r="AX477" s="213"/>
      <c r="AY477" s="213"/>
      <c r="AZ477" s="213"/>
      <c r="BA477" s="213"/>
      <c r="BB477" s="213"/>
      <c r="BC477" s="213"/>
      <c r="BD477" s="213"/>
      <c r="BE477" s="213"/>
      <c r="BF477" s="213"/>
      <c r="BG477" s="213"/>
      <c r="BH477" s="213"/>
      <c r="BI477" s="213"/>
      <c r="BJ477" s="213"/>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row>
    <row r="478" spans="1:243" s="42" customFormat="1" ht="15.6">
      <c r="A478" s="336" t="s">
        <v>713</v>
      </c>
      <c r="B478" s="336"/>
      <c r="C478" s="341" t="s">
        <v>476</v>
      </c>
      <c r="D478" s="287"/>
      <c r="E478" s="287"/>
      <c r="F478" s="287"/>
      <c r="G478" s="287"/>
      <c r="H478" s="287"/>
      <c r="I478" s="287"/>
      <c r="J478" s="287"/>
      <c r="K478" s="334"/>
      <c r="L478" s="287"/>
      <c r="M478" s="287"/>
      <c r="N478" s="287"/>
      <c r="O478" s="287"/>
      <c r="P478" s="339"/>
      <c r="Q478" s="342"/>
      <c r="R478" s="342"/>
      <c r="S478" s="343"/>
      <c r="T478" s="343"/>
      <c r="U478" s="343"/>
      <c r="V478" s="343"/>
      <c r="W478" s="343"/>
      <c r="X478" s="343"/>
      <c r="Y478" s="343"/>
      <c r="Z478" s="343"/>
      <c r="AA478" s="343"/>
      <c r="AB478" s="343"/>
      <c r="AC478" s="343"/>
      <c r="AD478" s="343"/>
      <c r="AE478" s="343"/>
      <c r="AF478" s="343"/>
      <c r="AG478" s="343"/>
      <c r="AH478" s="343"/>
      <c r="AI478" s="343"/>
      <c r="AJ478" s="344"/>
      <c r="AK478" s="345"/>
      <c r="AL478" s="346"/>
      <c r="AM478" s="344"/>
      <c r="AN478" s="345"/>
      <c r="AO478" s="343"/>
      <c r="AP478" s="346"/>
      <c r="AQ478" s="346"/>
      <c r="AR478" s="345"/>
      <c r="AS478" s="346"/>
      <c r="AT478" s="346"/>
      <c r="AU478" s="346"/>
      <c r="AV478" s="346"/>
      <c r="AW478" s="287"/>
      <c r="AX478" s="287"/>
      <c r="AY478" s="287"/>
      <c r="AZ478" s="287"/>
      <c r="BA478" s="287"/>
      <c r="BB478" s="287"/>
      <c r="BC478" s="287"/>
      <c r="BD478" s="287"/>
      <c r="BE478" s="287"/>
      <c r="BF478" s="287"/>
      <c r="BG478" s="287"/>
      <c r="BH478" s="287"/>
      <c r="BI478" s="287"/>
      <c r="BJ478" s="287"/>
    </row>
    <row r="479" spans="1:243" ht="15.6">
      <c r="A479" s="355"/>
      <c r="B479" s="336"/>
      <c r="C479" s="287"/>
      <c r="D479" s="287"/>
      <c r="E479" s="287"/>
      <c r="F479" s="287"/>
      <c r="G479" s="287"/>
      <c r="H479" s="287"/>
      <c r="I479" s="287"/>
      <c r="J479" s="287"/>
      <c r="K479" s="334"/>
      <c r="L479" s="287"/>
      <c r="M479" s="287"/>
      <c r="N479" s="287"/>
      <c r="O479" s="287"/>
      <c r="P479" s="339"/>
      <c r="S479" s="277"/>
      <c r="T479" s="277"/>
      <c r="U479" s="277"/>
      <c r="V479" s="277"/>
      <c r="W479" s="277"/>
      <c r="X479" s="277"/>
      <c r="Y479" s="277"/>
      <c r="Z479" s="277"/>
      <c r="AA479" s="277"/>
      <c r="AB479" s="277"/>
      <c r="AC479" s="277"/>
      <c r="AD479" s="277"/>
      <c r="AE479" s="277"/>
      <c r="AF479" s="277"/>
      <c r="AG479" s="277"/>
      <c r="AH479" s="277"/>
      <c r="AI479" s="277"/>
      <c r="AJ479" s="216"/>
      <c r="AK479" s="304"/>
      <c r="AL479" s="303"/>
      <c r="AM479" s="216"/>
      <c r="AN479" s="304"/>
      <c r="AO479" s="277"/>
      <c r="AP479" s="303"/>
      <c r="AQ479" s="303"/>
      <c r="AR479" s="304"/>
      <c r="AS479" s="303"/>
      <c r="AT479" s="303"/>
      <c r="AU479" s="303"/>
      <c r="AV479" s="303"/>
      <c r="AW479" s="213"/>
      <c r="AX479" s="213"/>
      <c r="AY479" s="213"/>
      <c r="AZ479" s="213"/>
      <c r="BA479" s="213"/>
      <c r="BB479" s="213"/>
      <c r="BC479" s="213"/>
      <c r="BD479" s="213"/>
      <c r="BE479" s="213"/>
      <c r="BF479" s="213"/>
      <c r="BG479" s="213"/>
      <c r="BH479" s="213"/>
      <c r="BI479" s="213"/>
      <c r="BJ479" s="213"/>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row>
    <row r="480" spans="1:243" ht="18.600000000000001">
      <c r="A480" s="355" t="s">
        <v>494</v>
      </c>
      <c r="B480" s="355" t="s">
        <v>1078</v>
      </c>
      <c r="C480" s="334"/>
      <c r="D480" s="1778" t="s">
        <v>714</v>
      </c>
      <c r="E480" s="1779"/>
      <c r="F480" s="1779"/>
      <c r="G480" s="1779"/>
      <c r="H480" s="1779"/>
      <c r="I480" s="1779"/>
      <c r="J480" s="1779"/>
      <c r="K480" s="1779"/>
      <c r="L480" s="1779"/>
      <c r="M480" s="1779"/>
      <c r="N480" s="1779"/>
      <c r="O480" s="1779"/>
      <c r="P480" s="357"/>
      <c r="S480" s="277"/>
      <c r="T480" s="277"/>
      <c r="U480" s="277"/>
      <c r="V480" s="277"/>
      <c r="W480" s="277"/>
      <c r="X480" s="277"/>
      <c r="Y480" s="277"/>
      <c r="Z480" s="277"/>
      <c r="AA480" s="277"/>
      <c r="AB480" s="277"/>
      <c r="AC480" s="277"/>
      <c r="AD480" s="277"/>
      <c r="AE480" s="277"/>
      <c r="AF480" s="277"/>
      <c r="AG480" s="277"/>
      <c r="AH480" s="277"/>
      <c r="AI480" s="277"/>
      <c r="AJ480" s="216"/>
      <c r="AK480" s="304"/>
      <c r="AL480" s="303"/>
      <c r="AM480" s="216"/>
      <c r="AN480" s="304"/>
      <c r="AO480" s="277"/>
      <c r="AP480" s="303"/>
      <c r="AQ480" s="303"/>
      <c r="AR480" s="304"/>
      <c r="AS480" s="303"/>
      <c r="AT480" s="303"/>
      <c r="AU480" s="303"/>
      <c r="AV480" s="303"/>
      <c r="AW480" s="213"/>
      <c r="AX480" s="213"/>
      <c r="AY480" s="213"/>
      <c r="AZ480" s="213"/>
      <c r="BA480" s="213"/>
      <c r="BB480" s="213"/>
      <c r="BC480" s="213"/>
      <c r="BD480" s="213"/>
      <c r="BE480" s="213"/>
      <c r="BF480" s="213"/>
      <c r="BG480" s="213"/>
      <c r="BH480" s="213"/>
      <c r="BI480" s="213"/>
      <c r="BJ480" s="213"/>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row>
    <row r="481" spans="1:243" ht="15.6">
      <c r="A481" s="322" t="s">
        <v>928</v>
      </c>
      <c r="B481" s="322" t="s">
        <v>928</v>
      </c>
      <c r="C481" s="335"/>
      <c r="D481" s="358" t="s">
        <v>715</v>
      </c>
      <c r="E481" s="358" t="s">
        <v>716</v>
      </c>
      <c r="F481" s="358" t="s">
        <v>717</v>
      </c>
      <c r="G481" s="358" t="s">
        <v>718</v>
      </c>
      <c r="H481" s="358" t="s">
        <v>719</v>
      </c>
      <c r="I481" s="358" t="s">
        <v>720</v>
      </c>
      <c r="J481" s="358" t="s">
        <v>721</v>
      </c>
      <c r="K481" s="358" t="s">
        <v>722</v>
      </c>
      <c r="L481" s="358" t="s">
        <v>723</v>
      </c>
      <c r="M481" s="358" t="s">
        <v>724</v>
      </c>
      <c r="N481" s="358" t="s">
        <v>725</v>
      </c>
      <c r="O481" s="358" t="s">
        <v>726</v>
      </c>
      <c r="P481" s="359"/>
      <c r="S481" s="277"/>
      <c r="T481" s="277"/>
      <c r="U481" s="277"/>
      <c r="V481" s="277"/>
      <c r="W481" s="277"/>
      <c r="X481" s="277"/>
      <c r="Y481" s="277"/>
      <c r="Z481" s="277"/>
      <c r="AA481" s="277"/>
      <c r="AB481" s="277"/>
      <c r="AC481" s="277"/>
      <c r="AD481" s="277"/>
      <c r="AE481" s="277"/>
      <c r="AF481" s="277"/>
      <c r="AG481" s="277"/>
      <c r="AH481" s="277"/>
      <c r="AI481" s="277"/>
      <c r="AJ481" s="216"/>
      <c r="AK481" s="304"/>
      <c r="AL481" s="303"/>
      <c r="AM481" s="216"/>
      <c r="AN481" s="304"/>
      <c r="AO481" s="277"/>
      <c r="AP481" s="303"/>
      <c r="AQ481" s="303"/>
      <c r="AR481" s="304"/>
      <c r="AS481" s="303"/>
      <c r="AT481" s="303"/>
      <c r="AU481" s="303"/>
      <c r="AV481" s="303"/>
      <c r="AW481" s="213"/>
      <c r="AX481" s="213"/>
      <c r="AY481" s="213"/>
      <c r="AZ481" s="213"/>
      <c r="BA481" s="213"/>
      <c r="BB481" s="213"/>
      <c r="BC481" s="213"/>
      <c r="BD481" s="213"/>
      <c r="BE481" s="213"/>
      <c r="BF481" s="213"/>
      <c r="BG481" s="213"/>
      <c r="BH481" s="213"/>
      <c r="BI481" s="213"/>
      <c r="BJ481" s="213"/>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row>
    <row r="482" spans="1:243" ht="15.6">
      <c r="A482" s="170">
        <f>A476+1</f>
        <v>85</v>
      </c>
      <c r="B482" s="327">
        <v>311</v>
      </c>
      <c r="C482" s="287"/>
      <c r="D482" s="905">
        <v>0</v>
      </c>
      <c r="E482" s="905">
        <v>0</v>
      </c>
      <c r="F482" s="905">
        <v>0</v>
      </c>
      <c r="G482" s="905">
        <v>0</v>
      </c>
      <c r="H482" s="905">
        <v>0</v>
      </c>
      <c r="I482" s="905">
        <v>0</v>
      </c>
      <c r="J482" s="905">
        <v>0</v>
      </c>
      <c r="K482" s="905">
        <v>0</v>
      </c>
      <c r="L482" s="905">
        <v>0</v>
      </c>
      <c r="M482" s="905">
        <v>0</v>
      </c>
      <c r="N482" s="905">
        <v>0</v>
      </c>
      <c r="O482" s="905">
        <v>0</v>
      </c>
      <c r="P482" s="339"/>
      <c r="S482" s="277"/>
      <c r="T482" s="277"/>
      <c r="U482" s="277"/>
      <c r="V482" s="277"/>
      <c r="W482" s="277"/>
      <c r="X482" s="277"/>
      <c r="Y482" s="277"/>
      <c r="Z482" s="277"/>
      <c r="AA482" s="277"/>
      <c r="AB482" s="277"/>
      <c r="AC482" s="277"/>
      <c r="AD482" s="277"/>
      <c r="AE482" s="277"/>
      <c r="AF482" s="277"/>
      <c r="AG482" s="277"/>
      <c r="AH482" s="277"/>
      <c r="AI482" s="277"/>
      <c r="AJ482" s="216"/>
      <c r="AK482" s="304"/>
      <c r="AL482" s="303"/>
      <c r="AM482" s="216"/>
      <c r="AN482" s="304"/>
      <c r="AO482" s="277"/>
      <c r="AP482" s="303"/>
      <c r="AQ482" s="303"/>
      <c r="AR482" s="304"/>
      <c r="AS482" s="303"/>
      <c r="AT482" s="303"/>
      <c r="AU482" s="303"/>
      <c r="AV482" s="303"/>
      <c r="AW482" s="213"/>
      <c r="AX482" s="213"/>
      <c r="AY482" s="213"/>
      <c r="AZ482" s="213"/>
      <c r="BA482" s="213"/>
      <c r="BB482" s="213"/>
      <c r="BC482" s="213"/>
      <c r="BD482" s="213"/>
      <c r="BE482" s="213"/>
      <c r="BF482" s="213"/>
      <c r="BG482" s="213"/>
      <c r="BH482" s="213"/>
      <c r="BI482" s="213"/>
      <c r="BJ482" s="213"/>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row>
    <row r="483" spans="1:243" ht="15.6">
      <c r="A483" s="170">
        <f>A482+1</f>
        <v>86</v>
      </c>
      <c r="B483" s="327">
        <v>312</v>
      </c>
      <c r="C483" s="287"/>
      <c r="D483" s="907">
        <v>0</v>
      </c>
      <c r="E483" s="907">
        <v>0</v>
      </c>
      <c r="F483" s="907">
        <v>0</v>
      </c>
      <c r="G483" s="907">
        <v>0</v>
      </c>
      <c r="H483" s="907">
        <v>0</v>
      </c>
      <c r="I483" s="907">
        <v>0</v>
      </c>
      <c r="J483" s="907">
        <v>0</v>
      </c>
      <c r="K483" s="907">
        <v>0</v>
      </c>
      <c r="L483" s="907">
        <v>0</v>
      </c>
      <c r="M483" s="907">
        <v>0</v>
      </c>
      <c r="N483" s="907">
        <v>0</v>
      </c>
      <c r="O483" s="907">
        <v>0</v>
      </c>
      <c r="P483" s="339"/>
      <c r="S483" s="277"/>
      <c r="T483" s="277"/>
      <c r="U483" s="277"/>
      <c r="V483" s="277"/>
      <c r="W483" s="277"/>
      <c r="X483" s="277"/>
      <c r="Y483" s="277"/>
      <c r="Z483" s="277"/>
      <c r="AA483" s="277"/>
      <c r="AB483" s="277"/>
      <c r="AC483" s="277"/>
      <c r="AD483" s="277"/>
      <c r="AE483" s="277"/>
      <c r="AF483" s="277"/>
      <c r="AG483" s="277"/>
      <c r="AH483" s="277"/>
      <c r="AI483" s="277"/>
      <c r="AJ483" s="216"/>
      <c r="AK483" s="304"/>
      <c r="AL483" s="303"/>
      <c r="AM483" s="216"/>
      <c r="AN483" s="304"/>
      <c r="AO483" s="277"/>
      <c r="AP483" s="303"/>
      <c r="AQ483" s="303"/>
      <c r="AR483" s="304"/>
      <c r="AS483" s="303"/>
      <c r="AT483" s="303"/>
      <c r="AU483" s="303"/>
      <c r="AV483" s="303"/>
      <c r="AW483" s="213"/>
      <c r="AX483" s="213"/>
      <c r="AY483" s="213"/>
      <c r="AZ483" s="213"/>
      <c r="BA483" s="213"/>
      <c r="BB483" s="213"/>
      <c r="BC483" s="213"/>
      <c r="BD483" s="213"/>
      <c r="BE483" s="213"/>
      <c r="BF483" s="213"/>
      <c r="BG483" s="213"/>
      <c r="BH483" s="213"/>
      <c r="BI483" s="213"/>
      <c r="BJ483" s="21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row>
    <row r="484" spans="1:243" ht="15.6">
      <c r="A484" s="170">
        <f>A483+1</f>
        <v>87</v>
      </c>
      <c r="B484" s="327">
        <v>312.10000000000002</v>
      </c>
      <c r="C484" s="287"/>
      <c r="D484" s="907">
        <v>0</v>
      </c>
      <c r="E484" s="907">
        <v>0</v>
      </c>
      <c r="F484" s="907">
        <v>0</v>
      </c>
      <c r="G484" s="907">
        <v>0</v>
      </c>
      <c r="H484" s="907">
        <v>0</v>
      </c>
      <c r="I484" s="907">
        <v>0</v>
      </c>
      <c r="J484" s="907">
        <v>0</v>
      </c>
      <c r="K484" s="907">
        <v>0</v>
      </c>
      <c r="L484" s="907">
        <v>0</v>
      </c>
      <c r="M484" s="907">
        <v>0</v>
      </c>
      <c r="N484" s="907">
        <v>0</v>
      </c>
      <c r="O484" s="907">
        <v>0</v>
      </c>
      <c r="P484" s="339"/>
      <c r="S484" s="277"/>
      <c r="T484" s="277"/>
      <c r="U484" s="277"/>
      <c r="V484" s="277"/>
      <c r="W484" s="277"/>
      <c r="X484" s="277"/>
      <c r="Y484" s="277"/>
      <c r="Z484" s="277"/>
      <c r="AA484" s="277"/>
      <c r="AB484" s="277"/>
      <c r="AC484" s="277"/>
      <c r="AD484" s="277"/>
      <c r="AE484" s="277"/>
      <c r="AF484" s="277"/>
      <c r="AG484" s="277"/>
      <c r="AH484" s="277"/>
      <c r="AI484" s="277"/>
      <c r="AJ484" s="216"/>
      <c r="AK484" s="304"/>
      <c r="AL484" s="303"/>
      <c r="AM484" s="216"/>
      <c r="AN484" s="304"/>
      <c r="AO484" s="277"/>
      <c r="AP484" s="303"/>
      <c r="AQ484" s="303"/>
      <c r="AR484" s="304"/>
      <c r="AS484" s="303"/>
      <c r="AT484" s="303"/>
      <c r="AU484" s="303"/>
      <c r="AV484" s="303"/>
      <c r="AW484" s="213"/>
      <c r="AX484" s="213"/>
      <c r="AY484" s="213"/>
      <c r="AZ484" s="213"/>
      <c r="BA484" s="213"/>
      <c r="BB484" s="213"/>
      <c r="BC484" s="213"/>
      <c r="BD484" s="213"/>
      <c r="BE484" s="213"/>
      <c r="BF484" s="213"/>
      <c r="BG484" s="213"/>
      <c r="BH484" s="213"/>
      <c r="BI484" s="213"/>
      <c r="BJ484" s="213"/>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row>
    <row r="485" spans="1:243" ht="15.6">
      <c r="A485" s="170">
        <f>A484+1</f>
        <v>88</v>
      </c>
      <c r="B485" s="327">
        <v>314</v>
      </c>
      <c r="C485" s="287"/>
      <c r="D485" s="907">
        <v>0</v>
      </c>
      <c r="E485" s="907">
        <v>0</v>
      </c>
      <c r="F485" s="907">
        <v>0</v>
      </c>
      <c r="G485" s="907">
        <v>0</v>
      </c>
      <c r="H485" s="907">
        <v>0</v>
      </c>
      <c r="I485" s="907">
        <v>0</v>
      </c>
      <c r="J485" s="907">
        <v>0</v>
      </c>
      <c r="K485" s="907">
        <v>0</v>
      </c>
      <c r="L485" s="907">
        <v>0</v>
      </c>
      <c r="M485" s="907">
        <v>0</v>
      </c>
      <c r="N485" s="907">
        <v>0</v>
      </c>
      <c r="O485" s="907">
        <v>0</v>
      </c>
      <c r="P485" s="339"/>
      <c r="S485" s="277"/>
      <c r="T485" s="277"/>
      <c r="U485" s="277"/>
      <c r="V485" s="277"/>
      <c r="W485" s="277"/>
      <c r="X485" s="277"/>
      <c r="Y485" s="277"/>
      <c r="Z485" s="277"/>
      <c r="AA485" s="277"/>
      <c r="AB485" s="277"/>
      <c r="AC485" s="277"/>
      <c r="AD485" s="277"/>
      <c r="AE485" s="277"/>
      <c r="AF485" s="277"/>
      <c r="AG485" s="277"/>
      <c r="AH485" s="277"/>
      <c r="AI485" s="277"/>
      <c r="AJ485" s="216"/>
      <c r="AK485" s="304"/>
      <c r="AL485" s="303"/>
      <c r="AM485" s="216"/>
      <c r="AN485" s="304"/>
      <c r="AO485" s="277"/>
      <c r="AP485" s="303"/>
      <c r="AQ485" s="303"/>
      <c r="AR485" s="304"/>
      <c r="AS485" s="303"/>
      <c r="AT485" s="303"/>
      <c r="AU485" s="303"/>
      <c r="AV485" s="303"/>
      <c r="AW485" s="213"/>
      <c r="AX485" s="213"/>
      <c r="AY485" s="213"/>
      <c r="AZ485" s="213"/>
      <c r="BA485" s="213"/>
      <c r="BB485" s="213"/>
      <c r="BC485" s="213"/>
      <c r="BD485" s="213"/>
      <c r="BE485" s="213"/>
      <c r="BF485" s="213"/>
      <c r="BG485" s="213"/>
      <c r="BH485" s="213"/>
      <c r="BI485" s="213"/>
      <c r="BJ485" s="213"/>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row>
    <row r="486" spans="1:243" ht="15.6">
      <c r="A486" s="170">
        <f>A485+1</f>
        <v>89</v>
      </c>
      <c r="B486" s="327">
        <v>315</v>
      </c>
      <c r="C486" s="287"/>
      <c r="D486" s="907">
        <v>0</v>
      </c>
      <c r="E486" s="907">
        <v>0</v>
      </c>
      <c r="F486" s="907">
        <v>0</v>
      </c>
      <c r="G486" s="907">
        <v>0</v>
      </c>
      <c r="H486" s="907">
        <v>0</v>
      </c>
      <c r="I486" s="907">
        <v>0</v>
      </c>
      <c r="J486" s="907">
        <v>0</v>
      </c>
      <c r="K486" s="907">
        <v>0</v>
      </c>
      <c r="L486" s="907">
        <v>0</v>
      </c>
      <c r="M486" s="907">
        <v>0</v>
      </c>
      <c r="N486" s="907">
        <v>0</v>
      </c>
      <c r="O486" s="907">
        <v>0</v>
      </c>
      <c r="P486" s="339"/>
      <c r="S486" s="277"/>
      <c r="T486" s="277"/>
      <c r="U486" s="277"/>
      <c r="V486" s="277"/>
      <c r="W486" s="277"/>
      <c r="X486" s="277"/>
      <c r="Y486" s="277"/>
      <c r="Z486" s="277"/>
      <c r="AA486" s="277"/>
      <c r="AB486" s="277"/>
      <c r="AC486" s="277"/>
      <c r="AD486" s="277"/>
      <c r="AE486" s="277"/>
      <c r="AF486" s="277"/>
      <c r="AG486" s="277"/>
      <c r="AH486" s="277"/>
      <c r="AI486" s="277"/>
      <c r="AJ486" s="216"/>
      <c r="AK486" s="304"/>
      <c r="AL486" s="303"/>
      <c r="AM486" s="216"/>
      <c r="AN486" s="304"/>
      <c r="AO486" s="277"/>
      <c r="AP486" s="303"/>
      <c r="AQ486" s="303"/>
      <c r="AR486" s="304"/>
      <c r="AS486" s="303"/>
      <c r="AT486" s="303"/>
      <c r="AU486" s="303"/>
      <c r="AV486" s="303"/>
      <c r="AW486" s="213"/>
      <c r="AX486" s="213"/>
      <c r="AY486" s="213"/>
      <c r="AZ486" s="213"/>
      <c r="BA486" s="213"/>
      <c r="BB486" s="213"/>
      <c r="BC486" s="213"/>
      <c r="BD486" s="213"/>
      <c r="BE486" s="213"/>
      <c r="BF486" s="213"/>
      <c r="BG486" s="213"/>
      <c r="BH486" s="213"/>
      <c r="BI486" s="213"/>
      <c r="BJ486" s="213"/>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row>
    <row r="487" spans="1:243" ht="15.6">
      <c r="A487" s="170">
        <f>A486+1</f>
        <v>90</v>
      </c>
      <c r="B487" s="327">
        <v>316</v>
      </c>
      <c r="C487" s="287"/>
      <c r="D487" s="907">
        <v>0</v>
      </c>
      <c r="E487" s="907">
        <v>0</v>
      </c>
      <c r="F487" s="907">
        <v>0</v>
      </c>
      <c r="G487" s="907">
        <v>0</v>
      </c>
      <c r="H487" s="907">
        <v>0</v>
      </c>
      <c r="I487" s="907">
        <v>0</v>
      </c>
      <c r="J487" s="907">
        <v>0</v>
      </c>
      <c r="K487" s="907">
        <v>0</v>
      </c>
      <c r="L487" s="907">
        <v>0</v>
      </c>
      <c r="M487" s="907">
        <v>0</v>
      </c>
      <c r="N487" s="907">
        <v>0</v>
      </c>
      <c r="O487" s="907">
        <v>0</v>
      </c>
      <c r="P487" s="339"/>
      <c r="S487" s="277"/>
      <c r="T487" s="277"/>
      <c r="U487" s="277"/>
      <c r="V487" s="277"/>
      <c r="W487" s="277"/>
      <c r="X487" s="277"/>
      <c r="Y487" s="277"/>
      <c r="Z487" s="277"/>
      <c r="AA487" s="277"/>
      <c r="AB487" s="277"/>
      <c r="AC487" s="277"/>
      <c r="AD487" s="277"/>
      <c r="AE487" s="277"/>
      <c r="AF487" s="277"/>
      <c r="AG487" s="277"/>
      <c r="AH487" s="277"/>
      <c r="AI487" s="277"/>
      <c r="AJ487" s="216"/>
      <c r="AK487" s="304"/>
      <c r="AL487" s="303"/>
      <c r="AM487" s="216"/>
      <c r="AN487" s="304"/>
      <c r="AO487" s="277"/>
      <c r="AP487" s="303"/>
      <c r="AQ487" s="303"/>
      <c r="AR487" s="304"/>
      <c r="AS487" s="303"/>
      <c r="AT487" s="303"/>
      <c r="AU487" s="303"/>
      <c r="AV487" s="303"/>
      <c r="AW487" s="213"/>
      <c r="AX487" s="213"/>
      <c r="AY487" s="213"/>
      <c r="AZ487" s="213"/>
      <c r="BA487" s="213"/>
      <c r="BB487" s="213"/>
      <c r="BC487" s="213"/>
      <c r="BD487" s="213"/>
      <c r="BE487" s="213"/>
      <c r="BF487" s="213"/>
      <c r="BG487" s="213"/>
      <c r="BH487" s="213"/>
      <c r="BI487" s="213"/>
      <c r="BJ487" s="213"/>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row>
    <row r="488" spans="1:243" ht="15.6">
      <c r="A488" s="170"/>
      <c r="B488" s="336"/>
      <c r="C488" s="287"/>
      <c r="D488" s="287"/>
      <c r="E488" s="287"/>
      <c r="F488" s="287"/>
      <c r="G488" s="287"/>
      <c r="H488" s="287"/>
      <c r="I488" s="287"/>
      <c r="J488" s="287"/>
      <c r="K488" s="334"/>
      <c r="L488" s="287"/>
      <c r="M488" s="287"/>
      <c r="N488" s="287"/>
      <c r="O488" s="287"/>
      <c r="P488" s="339"/>
      <c r="S488" s="277"/>
      <c r="T488" s="277"/>
      <c r="U488" s="277"/>
      <c r="V488" s="277"/>
      <c r="W488" s="277"/>
      <c r="X488" s="277"/>
      <c r="Y488" s="277"/>
      <c r="Z488" s="277"/>
      <c r="AA488" s="277"/>
      <c r="AB488" s="277"/>
      <c r="AC488" s="277"/>
      <c r="AD488" s="277"/>
      <c r="AE488" s="277"/>
      <c r="AF488" s="277"/>
      <c r="AG488" s="277"/>
      <c r="AH488" s="277"/>
      <c r="AI488" s="277"/>
      <c r="AJ488" s="216"/>
      <c r="AK488" s="304"/>
      <c r="AL488" s="303"/>
      <c r="AM488" s="216"/>
      <c r="AN488" s="304"/>
      <c r="AO488" s="277"/>
      <c r="AP488" s="303"/>
      <c r="AQ488" s="303"/>
      <c r="AR488" s="304"/>
      <c r="AS488" s="303"/>
      <c r="AT488" s="303"/>
      <c r="AU488" s="303"/>
      <c r="AV488" s="303"/>
      <c r="AW488" s="213"/>
      <c r="AX488" s="213"/>
      <c r="AY488" s="213"/>
      <c r="AZ488" s="213"/>
      <c r="BA488" s="213"/>
      <c r="BB488" s="213"/>
      <c r="BC488" s="213"/>
      <c r="BD488" s="213"/>
      <c r="BE488" s="213"/>
      <c r="BF488" s="213"/>
      <c r="BG488" s="213"/>
      <c r="BH488" s="213"/>
      <c r="BI488" s="213"/>
      <c r="BJ488" s="213"/>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row>
    <row r="489" spans="1:243" ht="18.600000000000001">
      <c r="A489" s="355"/>
      <c r="B489" s="355" t="s">
        <v>1078</v>
      </c>
      <c r="C489" s="334" t="s">
        <v>727</v>
      </c>
      <c r="D489" s="1778" t="s">
        <v>728</v>
      </c>
      <c r="E489" s="1779"/>
      <c r="F489" s="1779"/>
      <c r="G489" s="1779"/>
      <c r="H489" s="1779"/>
      <c r="I489" s="1779"/>
      <c r="J489" s="1779"/>
      <c r="K489" s="1779"/>
      <c r="L489" s="1779"/>
      <c r="M489" s="1779"/>
      <c r="N489" s="1779"/>
      <c r="O489" s="1779"/>
      <c r="P489" s="1779"/>
      <c r="S489" s="277"/>
      <c r="T489" s="277"/>
      <c r="U489" s="277"/>
      <c r="V489" s="277"/>
      <c r="W489" s="277"/>
      <c r="X489" s="277"/>
      <c r="Y489" s="277"/>
      <c r="Z489" s="277"/>
      <c r="AA489" s="277"/>
      <c r="AB489" s="277"/>
      <c r="AC489" s="277"/>
      <c r="AD489" s="277"/>
      <c r="AE489" s="277"/>
      <c r="AF489" s="277"/>
      <c r="AG489" s="277"/>
      <c r="AH489" s="277"/>
      <c r="AI489" s="277"/>
      <c r="AJ489" s="216"/>
      <c r="AK489" s="304"/>
      <c r="AL489" s="303"/>
      <c r="AM489" s="216"/>
      <c r="AN489" s="304"/>
      <c r="AO489" s="277"/>
      <c r="AP489" s="303"/>
      <c r="AQ489" s="303"/>
      <c r="AR489" s="304"/>
      <c r="AS489" s="303"/>
      <c r="AT489" s="303"/>
      <c r="AU489" s="303"/>
      <c r="AV489" s="303"/>
      <c r="AW489" s="213"/>
      <c r="AX489" s="213"/>
      <c r="AY489" s="213"/>
      <c r="AZ489" s="213"/>
      <c r="BA489" s="213"/>
      <c r="BB489" s="213"/>
      <c r="BC489" s="213"/>
      <c r="BD489" s="213"/>
      <c r="BE489" s="213"/>
      <c r="BF489" s="213"/>
      <c r="BG489" s="213"/>
      <c r="BH489" s="213"/>
      <c r="BI489" s="213"/>
      <c r="BJ489" s="213"/>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row>
    <row r="490" spans="1:243" ht="18.600000000000001">
      <c r="A490" s="322"/>
      <c r="B490" s="322" t="s">
        <v>928</v>
      </c>
      <c r="C490" s="335" t="s">
        <v>729</v>
      </c>
      <c r="D490" s="358" t="s">
        <v>716</v>
      </c>
      <c r="E490" s="358" t="s">
        <v>717</v>
      </c>
      <c r="F490" s="358" t="s">
        <v>718</v>
      </c>
      <c r="G490" s="358" t="s">
        <v>719</v>
      </c>
      <c r="H490" s="358" t="s">
        <v>720</v>
      </c>
      <c r="I490" s="358" t="s">
        <v>721</v>
      </c>
      <c r="J490" s="358" t="s">
        <v>722</v>
      </c>
      <c r="K490" s="358" t="s">
        <v>723</v>
      </c>
      <c r="L490" s="358" t="s">
        <v>724</v>
      </c>
      <c r="M490" s="358" t="s">
        <v>725</v>
      </c>
      <c r="N490" s="358" t="s">
        <v>726</v>
      </c>
      <c r="O490" s="358" t="s">
        <v>715</v>
      </c>
      <c r="P490" s="360" t="s">
        <v>468</v>
      </c>
      <c r="S490" s="277"/>
      <c r="T490" s="277"/>
      <c r="U490" s="277"/>
      <c r="V490" s="277"/>
      <c r="W490" s="277"/>
      <c r="X490" s="277"/>
      <c r="Y490" s="277"/>
      <c r="Z490" s="277"/>
      <c r="AA490" s="277"/>
      <c r="AB490" s="277"/>
      <c r="AC490" s="277"/>
      <c r="AD490" s="277"/>
      <c r="AE490" s="277"/>
      <c r="AF490" s="277"/>
      <c r="AG490" s="277"/>
      <c r="AH490" s="277"/>
      <c r="AI490" s="277"/>
      <c r="AJ490" s="216"/>
      <c r="AK490" s="304"/>
      <c r="AL490" s="303"/>
      <c r="AM490" s="216"/>
      <c r="AN490" s="304"/>
      <c r="AO490" s="277"/>
      <c r="AP490" s="303"/>
      <c r="AQ490" s="303"/>
      <c r="AR490" s="304"/>
      <c r="AS490" s="303"/>
      <c r="AT490" s="303"/>
      <c r="AU490" s="303"/>
      <c r="AV490" s="303"/>
      <c r="AW490" s="213"/>
      <c r="AX490" s="213"/>
      <c r="AY490" s="213"/>
      <c r="AZ490" s="213"/>
      <c r="BA490" s="213"/>
      <c r="BB490" s="213"/>
      <c r="BC490" s="213"/>
      <c r="BD490" s="213"/>
      <c r="BE490" s="213"/>
      <c r="BF490" s="213"/>
      <c r="BG490" s="213"/>
      <c r="BH490" s="213"/>
      <c r="BI490" s="213"/>
      <c r="BJ490" s="213"/>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row>
    <row r="491" spans="1:243" ht="15.6">
      <c r="A491" s="170">
        <f>A487+1</f>
        <v>91</v>
      </c>
      <c r="B491" s="327">
        <f t="shared" ref="B491:B496" si="108">B482</f>
        <v>311</v>
      </c>
      <c r="C491" s="906"/>
      <c r="D491" s="603">
        <f>D482*$C491/100/12</f>
        <v>0</v>
      </c>
      <c r="E491" s="603">
        <f t="shared" ref="E491:O491" si="109">E482*$C491/100/12</f>
        <v>0</v>
      </c>
      <c r="F491" s="603">
        <f t="shared" si="109"/>
        <v>0</v>
      </c>
      <c r="G491" s="603">
        <f t="shared" si="109"/>
        <v>0</v>
      </c>
      <c r="H491" s="603">
        <f t="shared" si="109"/>
        <v>0</v>
      </c>
      <c r="I491" s="603">
        <f t="shared" si="109"/>
        <v>0</v>
      </c>
      <c r="J491" s="603">
        <f t="shared" si="109"/>
        <v>0</v>
      </c>
      <c r="K491" s="603">
        <f t="shared" si="109"/>
        <v>0</v>
      </c>
      <c r="L491" s="603">
        <f t="shared" si="109"/>
        <v>0</v>
      </c>
      <c r="M491" s="603">
        <f t="shared" si="109"/>
        <v>0</v>
      </c>
      <c r="N491" s="603">
        <f t="shared" si="109"/>
        <v>0</v>
      </c>
      <c r="O491" s="603">
        <f t="shared" si="109"/>
        <v>0</v>
      </c>
      <c r="P491" s="333">
        <f t="shared" ref="P491:P496" si="110">SUM(D491:O491)</f>
        <v>0</v>
      </c>
      <c r="S491" s="277"/>
      <c r="T491" s="277"/>
      <c r="U491" s="277"/>
      <c r="V491" s="277"/>
      <c r="W491" s="277"/>
      <c r="X491" s="277"/>
      <c r="Y491" s="277"/>
      <c r="Z491" s="277"/>
      <c r="AA491" s="277"/>
      <c r="AB491" s="277"/>
      <c r="AC491" s="277"/>
      <c r="AD491" s="277"/>
      <c r="AE491" s="277"/>
      <c r="AF491" s="277"/>
      <c r="AG491" s="277"/>
      <c r="AH491" s="277"/>
      <c r="AI491" s="277"/>
      <c r="AJ491" s="216"/>
      <c r="AK491" s="304"/>
      <c r="AL491" s="303"/>
      <c r="AM491" s="216"/>
      <c r="AN491" s="304"/>
      <c r="AO491" s="277"/>
      <c r="AP491" s="303"/>
      <c r="AQ491" s="303"/>
      <c r="AR491" s="304"/>
      <c r="AS491" s="303"/>
      <c r="AT491" s="303"/>
      <c r="AU491" s="303"/>
      <c r="AV491" s="303"/>
      <c r="AW491" s="213"/>
      <c r="AX491" s="213"/>
      <c r="AY491" s="213"/>
      <c r="AZ491" s="213"/>
      <c r="BA491" s="213"/>
      <c r="BB491" s="213"/>
      <c r="BC491" s="213"/>
      <c r="BD491" s="213"/>
      <c r="BE491" s="213"/>
      <c r="BF491" s="213"/>
      <c r="BG491" s="213"/>
      <c r="BH491" s="213"/>
      <c r="BI491" s="213"/>
      <c r="BJ491" s="213"/>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row>
    <row r="492" spans="1:243" ht="15.6">
      <c r="A492" s="170">
        <f>A491+1</f>
        <v>92</v>
      </c>
      <c r="B492" s="327">
        <f t="shared" si="108"/>
        <v>312</v>
      </c>
      <c r="C492" s="906"/>
      <c r="D492" s="603">
        <f t="shared" ref="D492:O496" si="111">D483*$C492/100/12</f>
        <v>0</v>
      </c>
      <c r="E492" s="603">
        <f t="shared" si="111"/>
        <v>0</v>
      </c>
      <c r="F492" s="603">
        <f t="shared" si="111"/>
        <v>0</v>
      </c>
      <c r="G492" s="603">
        <f t="shared" si="111"/>
        <v>0</v>
      </c>
      <c r="H492" s="603">
        <f t="shared" si="111"/>
        <v>0</v>
      </c>
      <c r="I492" s="603">
        <f t="shared" si="111"/>
        <v>0</v>
      </c>
      <c r="J492" s="603">
        <f t="shared" si="111"/>
        <v>0</v>
      </c>
      <c r="K492" s="603">
        <f t="shared" si="111"/>
        <v>0</v>
      </c>
      <c r="L492" s="603">
        <f t="shared" si="111"/>
        <v>0</v>
      </c>
      <c r="M492" s="603">
        <f t="shared" si="111"/>
        <v>0</v>
      </c>
      <c r="N492" s="603">
        <f t="shared" si="111"/>
        <v>0</v>
      </c>
      <c r="O492" s="603">
        <f t="shared" si="111"/>
        <v>0</v>
      </c>
      <c r="P492" s="333">
        <f t="shared" si="110"/>
        <v>0</v>
      </c>
      <c r="S492" s="277"/>
      <c r="T492" s="277"/>
      <c r="U492" s="277"/>
      <c r="V492" s="277"/>
      <c r="W492" s="277"/>
      <c r="X492" s="277"/>
      <c r="Y492" s="277"/>
      <c r="Z492" s="277"/>
      <c r="AA492" s="277"/>
      <c r="AB492" s="277"/>
      <c r="AC492" s="277"/>
      <c r="AD492" s="277"/>
      <c r="AE492" s="277"/>
      <c r="AF492" s="277"/>
      <c r="AG492" s="277"/>
      <c r="AH492" s="277"/>
      <c r="AI492" s="277"/>
      <c r="AJ492" s="216"/>
      <c r="AK492" s="304"/>
      <c r="AL492" s="303"/>
      <c r="AM492" s="216"/>
      <c r="AN492" s="304"/>
      <c r="AO492" s="277"/>
      <c r="AP492" s="303"/>
      <c r="AQ492" s="303"/>
      <c r="AR492" s="304"/>
      <c r="AS492" s="303"/>
      <c r="AT492" s="303"/>
      <c r="AU492" s="303"/>
      <c r="AV492" s="303"/>
      <c r="AW492" s="213"/>
      <c r="AX492" s="213"/>
      <c r="AY492" s="213"/>
      <c r="AZ492" s="213"/>
      <c r="BA492" s="213"/>
      <c r="BB492" s="213"/>
      <c r="BC492" s="213"/>
      <c r="BD492" s="213"/>
      <c r="BE492" s="213"/>
      <c r="BF492" s="213"/>
      <c r="BG492" s="213"/>
      <c r="BH492" s="213"/>
      <c r="BI492" s="213"/>
      <c r="BJ492" s="213"/>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row>
    <row r="493" spans="1:243" ht="15.6">
      <c r="A493" s="170">
        <f>A492+1</f>
        <v>93</v>
      </c>
      <c r="B493" s="327">
        <f t="shared" si="108"/>
        <v>312.10000000000002</v>
      </c>
      <c r="C493" s="906"/>
      <c r="D493" s="603">
        <f t="shared" si="111"/>
        <v>0</v>
      </c>
      <c r="E493" s="603">
        <f t="shared" si="111"/>
        <v>0</v>
      </c>
      <c r="F493" s="603">
        <f t="shared" si="111"/>
        <v>0</v>
      </c>
      <c r="G493" s="603">
        <f t="shared" si="111"/>
        <v>0</v>
      </c>
      <c r="H493" s="603">
        <f t="shared" si="111"/>
        <v>0</v>
      </c>
      <c r="I493" s="603">
        <f t="shared" si="111"/>
        <v>0</v>
      </c>
      <c r="J493" s="603">
        <f t="shared" si="111"/>
        <v>0</v>
      </c>
      <c r="K493" s="603">
        <f t="shared" si="111"/>
        <v>0</v>
      </c>
      <c r="L493" s="603">
        <f t="shared" si="111"/>
        <v>0</v>
      </c>
      <c r="M493" s="603">
        <f t="shared" si="111"/>
        <v>0</v>
      </c>
      <c r="N493" s="603">
        <f t="shared" si="111"/>
        <v>0</v>
      </c>
      <c r="O493" s="603">
        <f t="shared" si="111"/>
        <v>0</v>
      </c>
      <c r="P493" s="333">
        <f t="shared" si="110"/>
        <v>0</v>
      </c>
      <c r="S493" s="277"/>
      <c r="T493" s="277"/>
      <c r="U493" s="277"/>
      <c r="V493" s="277"/>
      <c r="W493" s="277"/>
      <c r="X493" s="277"/>
      <c r="Y493" s="277"/>
      <c r="Z493" s="277"/>
      <c r="AA493" s="277"/>
      <c r="AB493" s="277"/>
      <c r="AC493" s="277"/>
      <c r="AD493" s="277"/>
      <c r="AE493" s="277"/>
      <c r="AF493" s="277"/>
      <c r="AG493" s="277"/>
      <c r="AH493" s="277"/>
      <c r="AI493" s="277"/>
      <c r="AJ493" s="216"/>
      <c r="AK493" s="304"/>
      <c r="AL493" s="303"/>
      <c r="AM493" s="216"/>
      <c r="AN493" s="304"/>
      <c r="AO493" s="277"/>
      <c r="AP493" s="303"/>
      <c r="AQ493" s="303"/>
      <c r="AR493" s="304"/>
      <c r="AS493" s="303"/>
      <c r="AT493" s="303"/>
      <c r="AU493" s="303"/>
      <c r="AV493" s="303"/>
      <c r="AW493" s="213"/>
      <c r="AX493" s="213"/>
      <c r="AY493" s="213"/>
      <c r="AZ493" s="213"/>
      <c r="BA493" s="213"/>
      <c r="BB493" s="213"/>
      <c r="BC493" s="213"/>
      <c r="BD493" s="213"/>
      <c r="BE493" s="213"/>
      <c r="BF493" s="213"/>
      <c r="BG493" s="213"/>
      <c r="BH493" s="213"/>
      <c r="BI493" s="213"/>
      <c r="BJ493" s="21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row>
    <row r="494" spans="1:243" ht="15.6">
      <c r="A494" s="170">
        <f>A493+1</f>
        <v>94</v>
      </c>
      <c r="B494" s="327">
        <f t="shared" si="108"/>
        <v>314</v>
      </c>
      <c r="C494" s="906"/>
      <c r="D494" s="603">
        <f t="shared" si="111"/>
        <v>0</v>
      </c>
      <c r="E494" s="603">
        <f t="shared" si="111"/>
        <v>0</v>
      </c>
      <c r="F494" s="603">
        <f t="shared" si="111"/>
        <v>0</v>
      </c>
      <c r="G494" s="603">
        <f t="shared" si="111"/>
        <v>0</v>
      </c>
      <c r="H494" s="603">
        <f t="shared" si="111"/>
        <v>0</v>
      </c>
      <c r="I494" s="603">
        <f t="shared" si="111"/>
        <v>0</v>
      </c>
      <c r="J494" s="603">
        <f t="shared" si="111"/>
        <v>0</v>
      </c>
      <c r="K494" s="603">
        <f t="shared" si="111"/>
        <v>0</v>
      </c>
      <c r="L494" s="603">
        <f t="shared" si="111"/>
        <v>0</v>
      </c>
      <c r="M494" s="603">
        <f t="shared" si="111"/>
        <v>0</v>
      </c>
      <c r="N494" s="603">
        <f t="shared" si="111"/>
        <v>0</v>
      </c>
      <c r="O494" s="603">
        <f t="shared" si="111"/>
        <v>0</v>
      </c>
      <c r="P494" s="333">
        <f t="shared" si="110"/>
        <v>0</v>
      </c>
      <c r="S494" s="277"/>
      <c r="T494" s="277"/>
      <c r="U494" s="277"/>
      <c r="V494" s="277"/>
      <c r="W494" s="277"/>
      <c r="X494" s="277"/>
      <c r="Y494" s="277"/>
      <c r="Z494" s="277"/>
      <c r="AA494" s="277"/>
      <c r="AB494" s="277"/>
      <c r="AC494" s="277"/>
      <c r="AD494" s="277"/>
      <c r="AE494" s="277"/>
      <c r="AF494" s="277"/>
      <c r="AG494" s="277"/>
      <c r="AH494" s="277"/>
      <c r="AI494" s="277"/>
      <c r="AJ494" s="216"/>
      <c r="AK494" s="304"/>
      <c r="AL494" s="303"/>
      <c r="AM494" s="216"/>
      <c r="AN494" s="304"/>
      <c r="AO494" s="277"/>
      <c r="AP494" s="303"/>
      <c r="AQ494" s="303"/>
      <c r="AR494" s="304"/>
      <c r="AS494" s="303"/>
      <c r="AT494" s="303"/>
      <c r="AU494" s="303"/>
      <c r="AV494" s="303"/>
      <c r="AW494" s="213"/>
      <c r="AX494" s="213"/>
      <c r="AY494" s="213"/>
      <c r="AZ494" s="213"/>
      <c r="BA494" s="213"/>
      <c r="BB494" s="213"/>
      <c r="BC494" s="213"/>
      <c r="BD494" s="213"/>
      <c r="BE494" s="213"/>
      <c r="BF494" s="213"/>
      <c r="BG494" s="213"/>
      <c r="BH494" s="213"/>
      <c r="BI494" s="213"/>
      <c r="BJ494" s="213"/>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row>
    <row r="495" spans="1:243" ht="15.6">
      <c r="A495" s="170">
        <f>A494+1</f>
        <v>95</v>
      </c>
      <c r="B495" s="327">
        <f t="shared" si="108"/>
        <v>315</v>
      </c>
      <c r="C495" s="906"/>
      <c r="D495" s="603">
        <f t="shared" si="111"/>
        <v>0</v>
      </c>
      <c r="E495" s="603">
        <f t="shared" si="111"/>
        <v>0</v>
      </c>
      <c r="F495" s="603">
        <f t="shared" si="111"/>
        <v>0</v>
      </c>
      <c r="G495" s="603">
        <f t="shared" si="111"/>
        <v>0</v>
      </c>
      <c r="H495" s="603">
        <f t="shared" si="111"/>
        <v>0</v>
      </c>
      <c r="I495" s="603">
        <f t="shared" si="111"/>
        <v>0</v>
      </c>
      <c r="J495" s="603">
        <f t="shared" si="111"/>
        <v>0</v>
      </c>
      <c r="K495" s="603">
        <f t="shared" si="111"/>
        <v>0</v>
      </c>
      <c r="L495" s="603">
        <f t="shared" si="111"/>
        <v>0</v>
      </c>
      <c r="M495" s="603">
        <f t="shared" si="111"/>
        <v>0</v>
      </c>
      <c r="N495" s="603">
        <f t="shared" si="111"/>
        <v>0</v>
      </c>
      <c r="O495" s="603">
        <f t="shared" si="111"/>
        <v>0</v>
      </c>
      <c r="P495" s="333">
        <f t="shared" si="110"/>
        <v>0</v>
      </c>
      <c r="S495" s="277"/>
      <c r="T495" s="277"/>
      <c r="U495" s="277"/>
      <c r="V495" s="277"/>
      <c r="W495" s="277"/>
      <c r="X495" s="277"/>
      <c r="Y495" s="277"/>
      <c r="Z495" s="277"/>
      <c r="AA495" s="277"/>
      <c r="AB495" s="277"/>
      <c r="AC495" s="277"/>
      <c r="AD495" s="277"/>
      <c r="AE495" s="277"/>
      <c r="AF495" s="277"/>
      <c r="AG495" s="277"/>
      <c r="AH495" s="277"/>
      <c r="AI495" s="277"/>
      <c r="AJ495" s="216"/>
      <c r="AK495" s="304"/>
      <c r="AL495" s="303"/>
      <c r="AM495" s="216"/>
      <c r="AN495" s="304"/>
      <c r="AO495" s="277"/>
      <c r="AP495" s="303"/>
      <c r="AQ495" s="303"/>
      <c r="AR495" s="304"/>
      <c r="AS495" s="303"/>
      <c r="AT495" s="303"/>
      <c r="AU495" s="303"/>
      <c r="AV495" s="303"/>
      <c r="AW495" s="213"/>
      <c r="AX495" s="213"/>
      <c r="AY495" s="213"/>
      <c r="AZ495" s="213"/>
      <c r="BA495" s="213"/>
      <c r="BB495" s="213"/>
      <c r="BC495" s="213"/>
      <c r="BD495" s="213"/>
      <c r="BE495" s="213"/>
      <c r="BF495" s="213"/>
      <c r="BG495" s="213"/>
      <c r="BH495" s="213"/>
      <c r="BI495" s="213"/>
      <c r="BJ495" s="213"/>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row>
    <row r="496" spans="1:243" ht="15.6">
      <c r="A496" s="170">
        <f>A495+1</f>
        <v>96</v>
      </c>
      <c r="B496" s="327">
        <f t="shared" si="108"/>
        <v>316</v>
      </c>
      <c r="C496" s="906"/>
      <c r="D496" s="603">
        <f t="shared" si="111"/>
        <v>0</v>
      </c>
      <c r="E496" s="603">
        <f t="shared" si="111"/>
        <v>0</v>
      </c>
      <c r="F496" s="603">
        <f t="shared" si="111"/>
        <v>0</v>
      </c>
      <c r="G496" s="603">
        <f t="shared" si="111"/>
        <v>0</v>
      </c>
      <c r="H496" s="603">
        <f t="shared" si="111"/>
        <v>0</v>
      </c>
      <c r="I496" s="603">
        <f t="shared" si="111"/>
        <v>0</v>
      </c>
      <c r="J496" s="603">
        <f t="shared" si="111"/>
        <v>0</v>
      </c>
      <c r="K496" s="603">
        <f t="shared" si="111"/>
        <v>0</v>
      </c>
      <c r="L496" s="603">
        <f t="shared" si="111"/>
        <v>0</v>
      </c>
      <c r="M496" s="603">
        <f t="shared" si="111"/>
        <v>0</v>
      </c>
      <c r="N496" s="603">
        <f t="shared" si="111"/>
        <v>0</v>
      </c>
      <c r="O496" s="603">
        <f t="shared" si="111"/>
        <v>0</v>
      </c>
      <c r="P496" s="333">
        <f t="shared" si="110"/>
        <v>0</v>
      </c>
      <c r="S496" s="277"/>
      <c r="T496" s="277"/>
      <c r="U496" s="277"/>
      <c r="V496" s="277"/>
      <c r="W496" s="277"/>
      <c r="X496" s="277"/>
      <c r="Y496" s="277"/>
      <c r="Z496" s="277"/>
      <c r="AA496" s="277"/>
      <c r="AB496" s="277"/>
      <c r="AC496" s="277"/>
      <c r="AD496" s="277"/>
      <c r="AE496" s="277"/>
      <c r="AF496" s="277"/>
      <c r="AG496" s="277"/>
      <c r="AH496" s="277"/>
      <c r="AI496" s="277"/>
      <c r="AJ496" s="216"/>
      <c r="AK496" s="304"/>
      <c r="AL496" s="303"/>
      <c r="AM496" s="216"/>
      <c r="AN496" s="304"/>
      <c r="AO496" s="277"/>
      <c r="AP496" s="303"/>
      <c r="AQ496" s="303"/>
      <c r="AR496" s="304"/>
      <c r="AS496" s="303"/>
      <c r="AT496" s="303"/>
      <c r="AU496" s="303"/>
      <c r="AV496" s="303"/>
      <c r="AW496" s="213"/>
      <c r="AX496" s="213"/>
      <c r="AY496" s="213"/>
      <c r="AZ496" s="213"/>
      <c r="BA496" s="213"/>
      <c r="BB496" s="213"/>
      <c r="BC496" s="213"/>
      <c r="BD496" s="213"/>
      <c r="BE496" s="213"/>
      <c r="BF496" s="213"/>
      <c r="BG496" s="213"/>
      <c r="BH496" s="213"/>
      <c r="BI496" s="213"/>
      <c r="BJ496" s="213"/>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row>
    <row r="497" spans="1:243" ht="15.6">
      <c r="A497" s="355"/>
      <c r="B497" s="287"/>
      <c r="C497" s="287"/>
      <c r="D497" s="287"/>
      <c r="E497" s="287"/>
      <c r="F497" s="287"/>
      <c r="G497" s="287"/>
      <c r="H497" s="287"/>
      <c r="I497" s="287"/>
      <c r="J497" s="287"/>
      <c r="K497" s="334"/>
      <c r="L497" s="287"/>
      <c r="M497" s="287"/>
      <c r="N497" s="287"/>
      <c r="O497" s="287"/>
      <c r="P497" s="339"/>
      <c r="S497" s="277"/>
      <c r="T497" s="277"/>
      <c r="U497" s="277"/>
      <c r="V497" s="277"/>
      <c r="W497" s="277"/>
      <c r="X497" s="277"/>
      <c r="Y497" s="277"/>
      <c r="Z497" s="277"/>
      <c r="AA497" s="277"/>
      <c r="AB497" s="277"/>
      <c r="AC497" s="277"/>
      <c r="AD497" s="277"/>
      <c r="AE497" s="277"/>
      <c r="AF497" s="277"/>
      <c r="AG497" s="277"/>
      <c r="AH497" s="277"/>
      <c r="AI497" s="277"/>
      <c r="AJ497" s="216"/>
      <c r="AK497" s="304"/>
      <c r="AL497" s="303"/>
      <c r="AM497" s="216"/>
      <c r="AN497" s="304"/>
      <c r="AO497" s="277"/>
      <c r="AP497" s="303"/>
      <c r="AQ497" s="303"/>
      <c r="AR497" s="304"/>
      <c r="AS497" s="303"/>
      <c r="AT497" s="303"/>
      <c r="AU497" s="303"/>
      <c r="AV497" s="303"/>
      <c r="AW497" s="213"/>
      <c r="AX497" s="213"/>
      <c r="AY497" s="213"/>
      <c r="AZ497" s="213"/>
      <c r="BA497" s="213"/>
      <c r="BB497" s="213"/>
      <c r="BC497" s="213"/>
      <c r="BD497" s="213"/>
      <c r="BE497" s="213"/>
      <c r="BF497" s="213"/>
      <c r="BG497" s="213"/>
      <c r="BH497" s="213"/>
      <c r="BI497" s="213"/>
      <c r="BJ497" s="213"/>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row>
    <row r="498" spans="1:243" ht="18.600000000000001">
      <c r="A498" s="355"/>
      <c r="B498" s="355" t="s">
        <v>1078</v>
      </c>
      <c r="C498" s="334" t="s">
        <v>730</v>
      </c>
      <c r="D498" s="1778" t="s">
        <v>731</v>
      </c>
      <c r="E498" s="1779"/>
      <c r="F498" s="1779"/>
      <c r="G498" s="1779"/>
      <c r="H498" s="1779"/>
      <c r="I498" s="1779"/>
      <c r="J498" s="1779"/>
      <c r="K498" s="1779"/>
      <c r="L498" s="1779"/>
      <c r="M498" s="1779"/>
      <c r="N498" s="1779"/>
      <c r="O498" s="1779"/>
      <c r="P498" s="1779"/>
      <c r="S498" s="277"/>
      <c r="T498" s="277"/>
      <c r="U498" s="277"/>
      <c r="V498" s="277"/>
      <c r="W498" s="277"/>
      <c r="X498" s="277"/>
      <c r="Y498" s="277"/>
      <c r="Z498" s="277"/>
      <c r="AA498" s="277"/>
      <c r="AB498" s="277"/>
      <c r="AC498" s="277"/>
      <c r="AD498" s="277"/>
      <c r="AE498" s="277"/>
      <c r="AF498" s="277"/>
      <c r="AG498" s="277"/>
      <c r="AH498" s="277"/>
      <c r="AI498" s="277"/>
      <c r="AJ498" s="216"/>
      <c r="AK498" s="304"/>
      <c r="AL498" s="303"/>
      <c r="AM498" s="216"/>
      <c r="AN498" s="304"/>
      <c r="AO498" s="277"/>
      <c r="AP498" s="303"/>
      <c r="AQ498" s="303"/>
      <c r="AR498" s="304"/>
      <c r="AS498" s="303"/>
      <c r="AT498" s="303"/>
      <c r="AU498" s="303"/>
      <c r="AV498" s="303"/>
      <c r="AW498" s="213"/>
      <c r="AX498" s="213"/>
      <c r="AY498" s="213"/>
      <c r="AZ498" s="213"/>
      <c r="BA498" s="213"/>
      <c r="BB498" s="213"/>
      <c r="BC498" s="213"/>
      <c r="BD498" s="213"/>
      <c r="BE498" s="213"/>
      <c r="BF498" s="213"/>
      <c r="BG498" s="213"/>
      <c r="BH498" s="213"/>
      <c r="BI498" s="213"/>
      <c r="BJ498" s="213"/>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row>
    <row r="499" spans="1:243" ht="18.600000000000001">
      <c r="A499" s="355"/>
      <c r="B499" s="322" t="s">
        <v>928</v>
      </c>
      <c r="C499" s="335" t="s">
        <v>732</v>
      </c>
      <c r="D499" s="358" t="s">
        <v>716</v>
      </c>
      <c r="E499" s="358" t="s">
        <v>717</v>
      </c>
      <c r="F499" s="358" t="s">
        <v>718</v>
      </c>
      <c r="G499" s="358" t="s">
        <v>719</v>
      </c>
      <c r="H499" s="358" t="s">
        <v>720</v>
      </c>
      <c r="I499" s="358" t="s">
        <v>721</v>
      </c>
      <c r="J499" s="358" t="s">
        <v>722</v>
      </c>
      <c r="K499" s="358" t="s">
        <v>723</v>
      </c>
      <c r="L499" s="358" t="s">
        <v>724</v>
      </c>
      <c r="M499" s="358" t="s">
        <v>725</v>
      </c>
      <c r="N499" s="358" t="s">
        <v>726</v>
      </c>
      <c r="O499" s="358" t="s">
        <v>715</v>
      </c>
      <c r="P499" s="360" t="s">
        <v>628</v>
      </c>
      <c r="S499" s="277"/>
      <c r="T499" s="277"/>
      <c r="U499" s="277"/>
      <c r="V499" s="277"/>
      <c r="W499" s="277"/>
      <c r="X499" s="277"/>
      <c r="Y499" s="277"/>
      <c r="Z499" s="277"/>
      <c r="AA499" s="277"/>
      <c r="AB499" s="277"/>
      <c r="AC499" s="277"/>
      <c r="AD499" s="277"/>
      <c r="AE499" s="277"/>
      <c r="AF499" s="277"/>
      <c r="AG499" s="277"/>
      <c r="AH499" s="277"/>
      <c r="AI499" s="277"/>
      <c r="AJ499" s="216"/>
      <c r="AK499" s="304"/>
      <c r="AL499" s="303"/>
      <c r="AM499" s="216"/>
      <c r="AN499" s="304"/>
      <c r="AO499" s="277"/>
      <c r="AP499" s="303"/>
      <c r="AQ499" s="303"/>
      <c r="AR499" s="304"/>
      <c r="AS499" s="303"/>
      <c r="AT499" s="303"/>
      <c r="AU499" s="303"/>
      <c r="AV499" s="303"/>
      <c r="AW499" s="213"/>
      <c r="AX499" s="213"/>
      <c r="AY499" s="213"/>
      <c r="AZ499" s="213"/>
      <c r="BA499" s="213"/>
      <c r="BB499" s="213"/>
      <c r="BC499" s="213"/>
      <c r="BD499" s="213"/>
      <c r="BE499" s="213"/>
      <c r="BF499" s="213"/>
      <c r="BG499" s="213"/>
      <c r="BH499" s="213"/>
      <c r="BI499" s="213"/>
      <c r="BJ499" s="213"/>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row>
    <row r="500" spans="1:243" ht="15.6">
      <c r="A500" s="170">
        <f>A496+1</f>
        <v>97</v>
      </c>
      <c r="B500" s="327">
        <f t="shared" ref="B500:B505" si="112">B482</f>
        <v>311</v>
      </c>
      <c r="C500" s="907">
        <v>0</v>
      </c>
      <c r="D500" s="603">
        <f>C500+D491</f>
        <v>0</v>
      </c>
      <c r="E500" s="603">
        <f t="shared" ref="E500:O500" si="113">D500+E491</f>
        <v>0</v>
      </c>
      <c r="F500" s="603">
        <f t="shared" si="113"/>
        <v>0</v>
      </c>
      <c r="G500" s="603">
        <f t="shared" si="113"/>
        <v>0</v>
      </c>
      <c r="H500" s="603">
        <f t="shared" si="113"/>
        <v>0</v>
      </c>
      <c r="I500" s="603">
        <f t="shared" si="113"/>
        <v>0</v>
      </c>
      <c r="J500" s="603">
        <f t="shared" si="113"/>
        <v>0</v>
      </c>
      <c r="K500" s="603">
        <f t="shared" si="113"/>
        <v>0</v>
      </c>
      <c r="L500" s="603">
        <f t="shared" si="113"/>
        <v>0</v>
      </c>
      <c r="M500" s="603">
        <f t="shared" si="113"/>
        <v>0</v>
      </c>
      <c r="N500" s="603">
        <f t="shared" si="113"/>
        <v>0</v>
      </c>
      <c r="O500" s="603">
        <f t="shared" si="113"/>
        <v>0</v>
      </c>
      <c r="P500" s="333">
        <f t="shared" ref="P500:P505" si="114">O500</f>
        <v>0</v>
      </c>
      <c r="S500" s="277"/>
      <c r="T500" s="277"/>
      <c r="U500" s="277"/>
      <c r="V500" s="277"/>
      <c r="W500" s="277"/>
      <c r="X500" s="277"/>
      <c r="Y500" s="277"/>
      <c r="Z500" s="277"/>
      <c r="AA500" s="277"/>
      <c r="AB500" s="277"/>
      <c r="AC500" s="277"/>
      <c r="AD500" s="277"/>
      <c r="AE500" s="277"/>
      <c r="AF500" s="277"/>
      <c r="AG500" s="277"/>
      <c r="AH500" s="277"/>
      <c r="AI500" s="277"/>
      <c r="AJ500" s="216"/>
      <c r="AK500" s="304"/>
      <c r="AL500" s="303"/>
      <c r="AM500" s="216"/>
      <c r="AN500" s="304"/>
      <c r="AO500" s="277"/>
      <c r="AP500" s="303"/>
      <c r="AQ500" s="303"/>
      <c r="AR500" s="304"/>
      <c r="AS500" s="303"/>
      <c r="AT500" s="303"/>
      <c r="AU500" s="303"/>
      <c r="AV500" s="303"/>
      <c r="AW500" s="213"/>
      <c r="AX500" s="213"/>
      <c r="AY500" s="213"/>
      <c r="AZ500" s="213"/>
      <c r="BA500" s="213"/>
      <c r="BB500" s="213"/>
      <c r="BC500" s="213"/>
      <c r="BD500" s="213"/>
      <c r="BE500" s="213"/>
      <c r="BF500" s="213"/>
      <c r="BG500" s="213"/>
      <c r="BH500" s="213"/>
      <c r="BI500" s="213"/>
      <c r="BJ500" s="213"/>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row>
    <row r="501" spans="1:243" ht="15.6">
      <c r="A501" s="170">
        <f>A500+1</f>
        <v>98</v>
      </c>
      <c r="B501" s="327">
        <f t="shared" si="112"/>
        <v>312</v>
      </c>
      <c r="C501" s="907">
        <v>0</v>
      </c>
      <c r="D501" s="603">
        <f t="shared" ref="D501:O505" si="115">C501+D492</f>
        <v>0</v>
      </c>
      <c r="E501" s="603">
        <f t="shared" si="115"/>
        <v>0</v>
      </c>
      <c r="F501" s="603">
        <f t="shared" si="115"/>
        <v>0</v>
      </c>
      <c r="G501" s="603">
        <f t="shared" si="115"/>
        <v>0</v>
      </c>
      <c r="H501" s="603">
        <f t="shared" si="115"/>
        <v>0</v>
      </c>
      <c r="I501" s="603">
        <f t="shared" si="115"/>
        <v>0</v>
      </c>
      <c r="J501" s="603">
        <f t="shared" si="115"/>
        <v>0</v>
      </c>
      <c r="K501" s="603">
        <f t="shared" si="115"/>
        <v>0</v>
      </c>
      <c r="L501" s="603">
        <f t="shared" si="115"/>
        <v>0</v>
      </c>
      <c r="M501" s="603">
        <f t="shared" si="115"/>
        <v>0</v>
      </c>
      <c r="N501" s="603">
        <f t="shared" si="115"/>
        <v>0</v>
      </c>
      <c r="O501" s="603">
        <f t="shared" si="115"/>
        <v>0</v>
      </c>
      <c r="P501" s="333">
        <f t="shared" si="114"/>
        <v>0</v>
      </c>
      <c r="S501" s="277"/>
      <c r="T501" s="277"/>
      <c r="U501" s="277"/>
      <c r="V501" s="277"/>
      <c r="W501" s="277"/>
      <c r="X501" s="277"/>
      <c r="Y501" s="277"/>
      <c r="Z501" s="277"/>
      <c r="AA501" s="277"/>
      <c r="AB501" s="277"/>
      <c r="AC501" s="277"/>
      <c r="AD501" s="277"/>
      <c r="AE501" s="277"/>
      <c r="AF501" s="277"/>
      <c r="AG501" s="277"/>
      <c r="AH501" s="277"/>
      <c r="AI501" s="277"/>
      <c r="AJ501" s="216"/>
      <c r="AK501" s="304"/>
      <c r="AL501" s="303"/>
      <c r="AM501" s="216"/>
      <c r="AN501" s="304"/>
      <c r="AO501" s="277"/>
      <c r="AP501" s="303"/>
      <c r="AQ501" s="303"/>
      <c r="AR501" s="304"/>
      <c r="AS501" s="303"/>
      <c r="AT501" s="303"/>
      <c r="AU501" s="303"/>
      <c r="AV501" s="303"/>
      <c r="AW501" s="213"/>
      <c r="AX501" s="213"/>
      <c r="AY501" s="213"/>
      <c r="AZ501" s="213"/>
      <c r="BA501" s="213"/>
      <c r="BB501" s="213"/>
      <c r="BC501" s="213"/>
      <c r="BD501" s="213"/>
      <c r="BE501" s="213"/>
      <c r="BF501" s="213"/>
      <c r="BG501" s="213"/>
      <c r="BH501" s="213"/>
      <c r="BI501" s="213"/>
      <c r="BJ501" s="213"/>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row>
    <row r="502" spans="1:243" ht="15.6">
      <c r="A502" s="170">
        <f>A501+1</f>
        <v>99</v>
      </c>
      <c r="B502" s="327">
        <f t="shared" si="112"/>
        <v>312.10000000000002</v>
      </c>
      <c r="C502" s="907">
        <v>0</v>
      </c>
      <c r="D502" s="603">
        <f t="shared" si="115"/>
        <v>0</v>
      </c>
      <c r="E502" s="603">
        <f t="shared" si="115"/>
        <v>0</v>
      </c>
      <c r="F502" s="603">
        <f t="shared" si="115"/>
        <v>0</v>
      </c>
      <c r="G502" s="603">
        <f t="shared" si="115"/>
        <v>0</v>
      </c>
      <c r="H502" s="603">
        <f t="shared" si="115"/>
        <v>0</v>
      </c>
      <c r="I502" s="603">
        <f t="shared" si="115"/>
        <v>0</v>
      </c>
      <c r="J502" s="603">
        <f t="shared" si="115"/>
        <v>0</v>
      </c>
      <c r="K502" s="603">
        <f t="shared" si="115"/>
        <v>0</v>
      </c>
      <c r="L502" s="603">
        <f t="shared" si="115"/>
        <v>0</v>
      </c>
      <c r="M502" s="603">
        <f t="shared" si="115"/>
        <v>0</v>
      </c>
      <c r="N502" s="603">
        <f t="shared" si="115"/>
        <v>0</v>
      </c>
      <c r="O502" s="603">
        <f t="shared" si="115"/>
        <v>0</v>
      </c>
      <c r="P502" s="333">
        <f t="shared" si="114"/>
        <v>0</v>
      </c>
      <c r="S502" s="277"/>
      <c r="T502" s="277"/>
      <c r="U502" s="277"/>
      <c r="V502" s="277"/>
      <c r="W502" s="277"/>
      <c r="X502" s="277"/>
      <c r="Y502" s="277"/>
      <c r="Z502" s="277"/>
      <c r="AA502" s="277"/>
      <c r="AB502" s="277"/>
      <c r="AC502" s="277"/>
      <c r="AD502" s="277"/>
      <c r="AE502" s="277"/>
      <c r="AF502" s="277"/>
      <c r="AG502" s="277"/>
      <c r="AH502" s="277"/>
      <c r="AI502" s="277"/>
      <c r="AJ502" s="216"/>
      <c r="AK502" s="304"/>
      <c r="AL502" s="303"/>
      <c r="AM502" s="216"/>
      <c r="AN502" s="304"/>
      <c r="AO502" s="277"/>
      <c r="AP502" s="303"/>
      <c r="AQ502" s="303"/>
      <c r="AR502" s="304"/>
      <c r="AS502" s="303"/>
      <c r="AT502" s="303"/>
      <c r="AU502" s="303"/>
      <c r="AV502" s="303"/>
      <c r="AW502" s="213"/>
      <c r="AX502" s="213"/>
      <c r="AY502" s="213"/>
      <c r="AZ502" s="213"/>
      <c r="BA502" s="213"/>
      <c r="BB502" s="213"/>
      <c r="BC502" s="213"/>
      <c r="BD502" s="213"/>
      <c r="BE502" s="213"/>
      <c r="BF502" s="213"/>
      <c r="BG502" s="213"/>
      <c r="BH502" s="213"/>
      <c r="BI502" s="213"/>
      <c r="BJ502" s="213"/>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row>
    <row r="503" spans="1:243" ht="15.6">
      <c r="A503" s="170">
        <f>A502+1</f>
        <v>100</v>
      </c>
      <c r="B503" s="327">
        <f t="shared" si="112"/>
        <v>314</v>
      </c>
      <c r="C503" s="907">
        <v>0</v>
      </c>
      <c r="D503" s="603">
        <f t="shared" si="115"/>
        <v>0</v>
      </c>
      <c r="E503" s="603">
        <f t="shared" si="115"/>
        <v>0</v>
      </c>
      <c r="F503" s="603">
        <f t="shared" si="115"/>
        <v>0</v>
      </c>
      <c r="G503" s="603">
        <f t="shared" si="115"/>
        <v>0</v>
      </c>
      <c r="H503" s="603">
        <f t="shared" si="115"/>
        <v>0</v>
      </c>
      <c r="I503" s="603">
        <f t="shared" si="115"/>
        <v>0</v>
      </c>
      <c r="J503" s="603">
        <f t="shared" si="115"/>
        <v>0</v>
      </c>
      <c r="K503" s="603">
        <f t="shared" si="115"/>
        <v>0</v>
      </c>
      <c r="L503" s="603">
        <f t="shared" si="115"/>
        <v>0</v>
      </c>
      <c r="M503" s="603">
        <f t="shared" si="115"/>
        <v>0</v>
      </c>
      <c r="N503" s="603">
        <f t="shared" si="115"/>
        <v>0</v>
      </c>
      <c r="O503" s="603">
        <f t="shared" si="115"/>
        <v>0</v>
      </c>
      <c r="P503" s="333">
        <f t="shared" si="114"/>
        <v>0</v>
      </c>
      <c r="S503" s="277"/>
      <c r="T503" s="277"/>
      <c r="U503" s="277"/>
      <c r="V503" s="277"/>
      <c r="W503" s="277"/>
      <c r="X503" s="277"/>
      <c r="Y503" s="277"/>
      <c r="Z503" s="277"/>
      <c r="AA503" s="277"/>
      <c r="AB503" s="277"/>
      <c r="AC503" s="277"/>
      <c r="AD503" s="277"/>
      <c r="AE503" s="277"/>
      <c r="AF503" s="277"/>
      <c r="AG503" s="277"/>
      <c r="AH503" s="277"/>
      <c r="AI503" s="277"/>
      <c r="AJ503" s="216"/>
      <c r="AK503" s="304"/>
      <c r="AL503" s="303"/>
      <c r="AM503" s="216"/>
      <c r="AN503" s="304"/>
      <c r="AO503" s="277"/>
      <c r="AP503" s="303"/>
      <c r="AQ503" s="303"/>
      <c r="AR503" s="304"/>
      <c r="AS503" s="303"/>
      <c r="AT503" s="303"/>
      <c r="AU503" s="303"/>
      <c r="AV503" s="303"/>
      <c r="AW503" s="213"/>
      <c r="AX503" s="213"/>
      <c r="AY503" s="213"/>
      <c r="AZ503" s="213"/>
      <c r="BA503" s="213"/>
      <c r="BB503" s="213"/>
      <c r="BC503" s="213"/>
      <c r="BD503" s="213"/>
      <c r="BE503" s="213"/>
      <c r="BF503" s="213"/>
      <c r="BG503" s="213"/>
      <c r="BH503" s="213"/>
      <c r="BI503" s="213"/>
      <c r="BJ503" s="21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row>
    <row r="504" spans="1:243" ht="15.6">
      <c r="A504" s="170">
        <f>A503+1</f>
        <v>101</v>
      </c>
      <c r="B504" s="327">
        <f t="shared" si="112"/>
        <v>315</v>
      </c>
      <c r="C504" s="907">
        <v>0</v>
      </c>
      <c r="D504" s="603">
        <f t="shared" si="115"/>
        <v>0</v>
      </c>
      <c r="E504" s="603">
        <f t="shared" si="115"/>
        <v>0</v>
      </c>
      <c r="F504" s="603">
        <f t="shared" si="115"/>
        <v>0</v>
      </c>
      <c r="G504" s="603">
        <f t="shared" si="115"/>
        <v>0</v>
      </c>
      <c r="H504" s="603">
        <f t="shared" si="115"/>
        <v>0</v>
      </c>
      <c r="I504" s="603">
        <f t="shared" si="115"/>
        <v>0</v>
      </c>
      <c r="J504" s="603">
        <f t="shared" si="115"/>
        <v>0</v>
      </c>
      <c r="K504" s="603">
        <f t="shared" si="115"/>
        <v>0</v>
      </c>
      <c r="L504" s="603">
        <f t="shared" si="115"/>
        <v>0</v>
      </c>
      <c r="M504" s="603">
        <f t="shared" si="115"/>
        <v>0</v>
      </c>
      <c r="N504" s="603">
        <f t="shared" si="115"/>
        <v>0</v>
      </c>
      <c r="O504" s="603">
        <f t="shared" si="115"/>
        <v>0</v>
      </c>
      <c r="P504" s="333">
        <f t="shared" si="114"/>
        <v>0</v>
      </c>
      <c r="S504" s="277"/>
      <c r="T504" s="277"/>
      <c r="U504" s="277"/>
      <c r="V504" s="277"/>
      <c r="W504" s="277"/>
      <c r="X504" s="277"/>
      <c r="Y504" s="277"/>
      <c r="Z504" s="277"/>
      <c r="AA504" s="277"/>
      <c r="AB504" s="277"/>
      <c r="AC504" s="277"/>
      <c r="AD504" s="277"/>
      <c r="AE504" s="277"/>
      <c r="AF504" s="277"/>
      <c r="AG504" s="277"/>
      <c r="AH504" s="277"/>
      <c r="AI504" s="277"/>
      <c r="AJ504" s="216"/>
      <c r="AK504" s="304"/>
      <c r="AL504" s="303"/>
      <c r="AM504" s="216"/>
      <c r="AN504" s="304"/>
      <c r="AO504" s="277"/>
      <c r="AP504" s="303"/>
      <c r="AQ504" s="303"/>
      <c r="AR504" s="304"/>
      <c r="AS504" s="303"/>
      <c r="AT504" s="303"/>
      <c r="AU504" s="303"/>
      <c r="AV504" s="303"/>
      <c r="AW504" s="213"/>
      <c r="AX504" s="213"/>
      <c r="AY504" s="213"/>
      <c r="AZ504" s="213"/>
      <c r="BA504" s="213"/>
      <c r="BB504" s="213"/>
      <c r="BC504" s="213"/>
      <c r="BD504" s="213"/>
      <c r="BE504" s="213"/>
      <c r="BF504" s="213"/>
      <c r="BG504" s="213"/>
      <c r="BH504" s="213"/>
      <c r="BI504" s="213"/>
      <c r="BJ504" s="213"/>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row>
    <row r="505" spans="1:243" ht="15.6">
      <c r="A505" s="170">
        <f>A504+1</f>
        <v>102</v>
      </c>
      <c r="B505" s="327">
        <f t="shared" si="112"/>
        <v>316</v>
      </c>
      <c r="C505" s="907">
        <v>0</v>
      </c>
      <c r="D505" s="603">
        <f t="shared" si="115"/>
        <v>0</v>
      </c>
      <c r="E505" s="603">
        <f t="shared" si="115"/>
        <v>0</v>
      </c>
      <c r="F505" s="603">
        <f t="shared" si="115"/>
        <v>0</v>
      </c>
      <c r="G505" s="603">
        <f t="shared" si="115"/>
        <v>0</v>
      </c>
      <c r="H505" s="603">
        <f t="shared" si="115"/>
        <v>0</v>
      </c>
      <c r="I505" s="603">
        <f t="shared" si="115"/>
        <v>0</v>
      </c>
      <c r="J505" s="603">
        <f t="shared" si="115"/>
        <v>0</v>
      </c>
      <c r="K505" s="603">
        <f t="shared" si="115"/>
        <v>0</v>
      </c>
      <c r="L505" s="603">
        <f t="shared" si="115"/>
        <v>0</v>
      </c>
      <c r="M505" s="603">
        <f t="shared" si="115"/>
        <v>0</v>
      </c>
      <c r="N505" s="603">
        <f t="shared" si="115"/>
        <v>0</v>
      </c>
      <c r="O505" s="603">
        <f t="shared" si="115"/>
        <v>0</v>
      </c>
      <c r="P505" s="333">
        <f t="shared" si="114"/>
        <v>0</v>
      </c>
      <c r="S505" s="277"/>
      <c r="T505" s="277"/>
      <c r="U505" s="277"/>
      <c r="V505" s="277"/>
      <c r="W505" s="277"/>
      <c r="X505" s="277"/>
      <c r="Y505" s="277"/>
      <c r="Z505" s="277"/>
      <c r="AA505" s="277"/>
      <c r="AB505" s="277"/>
      <c r="AC505" s="277"/>
      <c r="AD505" s="277"/>
      <c r="AE505" s="277"/>
      <c r="AF505" s="277"/>
      <c r="AG505" s="277"/>
      <c r="AH505" s="277"/>
      <c r="AI505" s="277"/>
      <c r="AJ505" s="216"/>
      <c r="AK505" s="304"/>
      <c r="AL505" s="303"/>
      <c r="AM505" s="216"/>
      <c r="AN505" s="304"/>
      <c r="AO505" s="277"/>
      <c r="AP505" s="303"/>
      <c r="AQ505" s="303"/>
      <c r="AR505" s="304"/>
      <c r="AS505" s="303"/>
      <c r="AT505" s="303"/>
      <c r="AU505" s="303"/>
      <c r="AV505" s="303"/>
      <c r="AW505" s="213"/>
      <c r="AX505" s="213"/>
      <c r="AY505" s="213"/>
      <c r="AZ505" s="213"/>
      <c r="BA505" s="213"/>
      <c r="BB505" s="213"/>
      <c r="BC505" s="213"/>
      <c r="BD505" s="213"/>
      <c r="BE505" s="213"/>
      <c r="BF505" s="213"/>
      <c r="BG505" s="213"/>
      <c r="BH505" s="213"/>
      <c r="BI505" s="213"/>
      <c r="BJ505" s="213"/>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row>
    <row r="506" spans="1:243" ht="15.6">
      <c r="A506" s="170"/>
      <c r="B506" s="327"/>
      <c r="C506" s="328"/>
      <c r="D506" s="328"/>
      <c r="E506" s="328"/>
      <c r="F506" s="328"/>
      <c r="G506" s="328"/>
      <c r="H506" s="328"/>
      <c r="I506" s="328"/>
      <c r="J506" s="328"/>
      <c r="K506" s="328"/>
      <c r="L506" s="328"/>
      <c r="M506" s="328"/>
      <c r="N506" s="328"/>
      <c r="O506" s="328"/>
      <c r="P506" s="333"/>
      <c r="S506" s="277"/>
      <c r="T506" s="277"/>
      <c r="U506" s="277"/>
      <c r="V506" s="277"/>
      <c r="W506" s="277"/>
      <c r="X506" s="277"/>
      <c r="Y506" s="277"/>
      <c r="Z506" s="277"/>
      <c r="AA506" s="277"/>
      <c r="AB506" s="277"/>
      <c r="AC506" s="277"/>
      <c r="AD506" s="277"/>
      <c r="AE506" s="277"/>
      <c r="AF506" s="277"/>
      <c r="AG506" s="277"/>
      <c r="AH506" s="277"/>
      <c r="AI506" s="277"/>
      <c r="AJ506" s="216"/>
      <c r="AK506" s="304"/>
      <c r="AL506" s="303"/>
      <c r="AM506" s="216"/>
      <c r="AN506" s="304"/>
      <c r="AO506" s="277"/>
      <c r="AP506" s="303"/>
      <c r="AQ506" s="303"/>
      <c r="AR506" s="304"/>
      <c r="AS506" s="303"/>
      <c r="AT506" s="303"/>
      <c r="AU506" s="303"/>
      <c r="AV506" s="303"/>
      <c r="AW506" s="213"/>
      <c r="AX506" s="213"/>
      <c r="AY506" s="213"/>
      <c r="AZ506" s="213"/>
      <c r="BA506" s="213"/>
      <c r="BB506" s="213"/>
      <c r="BC506" s="213"/>
      <c r="BD506" s="213"/>
      <c r="BE506" s="213"/>
      <c r="BF506" s="213"/>
      <c r="BG506" s="213"/>
      <c r="BH506" s="213"/>
      <c r="BI506" s="213"/>
      <c r="BJ506" s="213"/>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row>
    <row r="507" spans="1:243" s="42" customFormat="1" ht="15.6">
      <c r="A507" s="336" t="s">
        <v>713</v>
      </c>
      <c r="B507" s="336"/>
      <c r="C507" s="341" t="s">
        <v>476</v>
      </c>
      <c r="D507" s="287"/>
      <c r="E507" s="287"/>
      <c r="F507" s="287"/>
      <c r="G507" s="287"/>
      <c r="H507" s="287"/>
      <c r="I507" s="287"/>
      <c r="J507" s="287"/>
      <c r="K507" s="334"/>
      <c r="L507" s="287"/>
      <c r="M507" s="287"/>
      <c r="N507" s="287"/>
      <c r="O507" s="287"/>
      <c r="P507" s="339"/>
      <c r="Q507" s="342"/>
      <c r="R507" s="342"/>
      <c r="S507" s="343"/>
      <c r="T507" s="343"/>
      <c r="U507" s="343"/>
      <c r="V507" s="343"/>
      <c r="W507" s="343"/>
      <c r="X507" s="343"/>
      <c r="Y507" s="343"/>
      <c r="Z507" s="343"/>
      <c r="AA507" s="343"/>
      <c r="AB507" s="343"/>
      <c r="AC507" s="343"/>
      <c r="AD507" s="343"/>
      <c r="AE507" s="343"/>
      <c r="AF507" s="343"/>
      <c r="AG507" s="343"/>
      <c r="AH507" s="343"/>
      <c r="AI507" s="343"/>
      <c r="AJ507" s="344"/>
      <c r="AK507" s="345"/>
      <c r="AL507" s="346"/>
      <c r="AM507" s="344"/>
      <c r="AN507" s="345"/>
      <c r="AO507" s="343"/>
      <c r="AP507" s="346"/>
      <c r="AQ507" s="346"/>
      <c r="AR507" s="345"/>
      <c r="AS507" s="346"/>
      <c r="AT507" s="346"/>
      <c r="AU507" s="346"/>
      <c r="AV507" s="346"/>
      <c r="AW507" s="287"/>
      <c r="AX507" s="287"/>
      <c r="AY507" s="287"/>
      <c r="AZ507" s="287"/>
      <c r="BA507" s="287"/>
      <c r="BB507" s="287"/>
      <c r="BC507" s="287"/>
      <c r="BD507" s="287"/>
      <c r="BE507" s="287"/>
      <c r="BF507" s="287"/>
      <c r="BG507" s="287"/>
      <c r="BH507" s="287"/>
      <c r="BI507" s="287"/>
      <c r="BJ507" s="287"/>
    </row>
    <row r="508" spans="1:243" ht="15.6">
      <c r="A508" s="355"/>
      <c r="B508" s="336"/>
      <c r="C508" s="287"/>
      <c r="D508" s="287"/>
      <c r="E508" s="287"/>
      <c r="F508" s="287"/>
      <c r="G508" s="287"/>
      <c r="H508" s="287"/>
      <c r="I508" s="287"/>
      <c r="J508" s="287"/>
      <c r="K508" s="334"/>
      <c r="L508" s="287"/>
      <c r="M508" s="287"/>
      <c r="N508" s="287"/>
      <c r="O508" s="287"/>
      <c r="P508" s="339"/>
      <c r="S508" s="277"/>
      <c r="T508" s="277"/>
      <c r="U508" s="277"/>
      <c r="V508" s="277"/>
      <c r="W508" s="277"/>
      <c r="X508" s="277"/>
      <c r="Y508" s="277"/>
      <c r="Z508" s="277"/>
      <c r="AA508" s="277"/>
      <c r="AB508" s="277"/>
      <c r="AC508" s="277"/>
      <c r="AD508" s="277"/>
      <c r="AE508" s="277"/>
      <c r="AF508" s="277"/>
      <c r="AG508" s="277"/>
      <c r="AH508" s="277"/>
      <c r="AI508" s="277"/>
      <c r="AJ508" s="216"/>
      <c r="AK508" s="304"/>
      <c r="AL508" s="303"/>
      <c r="AM508" s="216"/>
      <c r="AN508" s="304"/>
      <c r="AO508" s="277"/>
      <c r="AP508" s="303"/>
      <c r="AQ508" s="303"/>
      <c r="AR508" s="304"/>
      <c r="AS508" s="303"/>
      <c r="AT508" s="303"/>
      <c r="AU508" s="303"/>
      <c r="AV508" s="303"/>
      <c r="AW508" s="213"/>
      <c r="AX508" s="213"/>
      <c r="AY508" s="213"/>
      <c r="AZ508" s="213"/>
      <c r="BA508" s="213"/>
      <c r="BB508" s="213"/>
      <c r="BC508" s="213"/>
      <c r="BD508" s="213"/>
      <c r="BE508" s="213"/>
      <c r="BF508" s="213"/>
      <c r="BG508" s="213"/>
      <c r="BH508" s="213"/>
      <c r="BI508" s="213"/>
      <c r="BJ508" s="213"/>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row>
    <row r="509" spans="1:243" ht="18.600000000000001">
      <c r="A509" s="355" t="s">
        <v>494</v>
      </c>
      <c r="B509" s="355" t="s">
        <v>1078</v>
      </c>
      <c r="C509" s="334"/>
      <c r="D509" s="1778" t="s">
        <v>714</v>
      </c>
      <c r="E509" s="1779"/>
      <c r="F509" s="1779"/>
      <c r="G509" s="1779"/>
      <c r="H509" s="1779"/>
      <c r="I509" s="1779"/>
      <c r="J509" s="1779"/>
      <c r="K509" s="1779"/>
      <c r="L509" s="1779"/>
      <c r="M509" s="1779"/>
      <c r="N509" s="1779"/>
      <c r="O509" s="1779"/>
      <c r="P509" s="357"/>
      <c r="S509" s="277"/>
      <c r="T509" s="277"/>
      <c r="U509" s="277"/>
      <c r="V509" s="277"/>
      <c r="W509" s="277"/>
      <c r="X509" s="277"/>
      <c r="Y509" s="277"/>
      <c r="Z509" s="277"/>
      <c r="AA509" s="277"/>
      <c r="AB509" s="277"/>
      <c r="AC509" s="277"/>
      <c r="AD509" s="277"/>
      <c r="AE509" s="277"/>
      <c r="AF509" s="277"/>
      <c r="AG509" s="277"/>
      <c r="AH509" s="277"/>
      <c r="AI509" s="277"/>
      <c r="AJ509" s="216"/>
      <c r="AK509" s="304"/>
      <c r="AL509" s="303"/>
      <c r="AM509" s="216"/>
      <c r="AN509" s="304"/>
      <c r="AO509" s="277"/>
      <c r="AP509" s="303"/>
      <c r="AQ509" s="303"/>
      <c r="AR509" s="304"/>
      <c r="AS509" s="303"/>
      <c r="AT509" s="303"/>
      <c r="AU509" s="303"/>
      <c r="AV509" s="303"/>
      <c r="AW509" s="213"/>
      <c r="AX509" s="213"/>
      <c r="AY509" s="213"/>
      <c r="AZ509" s="213"/>
      <c r="BA509" s="213"/>
      <c r="BB509" s="213"/>
      <c r="BC509" s="213"/>
      <c r="BD509" s="213"/>
      <c r="BE509" s="213"/>
      <c r="BF509" s="213"/>
      <c r="BG509" s="213"/>
      <c r="BH509" s="213"/>
      <c r="BI509" s="213"/>
      <c r="BJ509" s="213"/>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row>
    <row r="510" spans="1:243" ht="15.6">
      <c r="A510" s="322" t="s">
        <v>928</v>
      </c>
      <c r="B510" s="322" t="s">
        <v>928</v>
      </c>
      <c r="C510" s="335"/>
      <c r="D510" s="358" t="s">
        <v>715</v>
      </c>
      <c r="E510" s="358" t="s">
        <v>716</v>
      </c>
      <c r="F510" s="358" t="s">
        <v>717</v>
      </c>
      <c r="G510" s="358" t="s">
        <v>718</v>
      </c>
      <c r="H510" s="358" t="s">
        <v>719</v>
      </c>
      <c r="I510" s="358" t="s">
        <v>720</v>
      </c>
      <c r="J510" s="358" t="s">
        <v>721</v>
      </c>
      <c r="K510" s="358" t="s">
        <v>722</v>
      </c>
      <c r="L510" s="358" t="s">
        <v>723</v>
      </c>
      <c r="M510" s="358" t="s">
        <v>724</v>
      </c>
      <c r="N510" s="358" t="s">
        <v>725</v>
      </c>
      <c r="O510" s="358" t="s">
        <v>726</v>
      </c>
      <c r="P510" s="359"/>
      <c r="S510" s="277"/>
      <c r="T510" s="277"/>
      <c r="U510" s="277"/>
      <c r="V510" s="277"/>
      <c r="W510" s="277"/>
      <c r="X510" s="277"/>
      <c r="Y510" s="277"/>
      <c r="Z510" s="277"/>
      <c r="AA510" s="277"/>
      <c r="AB510" s="277"/>
      <c r="AC510" s="277"/>
      <c r="AD510" s="277"/>
      <c r="AE510" s="277"/>
      <c r="AF510" s="277"/>
      <c r="AG510" s="277"/>
      <c r="AH510" s="277"/>
      <c r="AI510" s="277"/>
      <c r="AJ510" s="216"/>
      <c r="AK510" s="304"/>
      <c r="AL510" s="303"/>
      <c r="AM510" s="216"/>
      <c r="AN510" s="304"/>
      <c r="AO510" s="277"/>
      <c r="AP510" s="303"/>
      <c r="AQ510" s="303"/>
      <c r="AR510" s="304"/>
      <c r="AS510" s="303"/>
      <c r="AT510" s="303"/>
      <c r="AU510" s="303"/>
      <c r="AV510" s="303"/>
      <c r="AW510" s="213"/>
      <c r="AX510" s="213"/>
      <c r="AY510" s="213"/>
      <c r="AZ510" s="213"/>
      <c r="BA510" s="213"/>
      <c r="BB510" s="213"/>
      <c r="BC510" s="213"/>
      <c r="BD510" s="213"/>
      <c r="BE510" s="213"/>
      <c r="BF510" s="213"/>
      <c r="BG510" s="213"/>
      <c r="BH510" s="213"/>
      <c r="BI510" s="213"/>
      <c r="BJ510" s="213"/>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row>
    <row r="511" spans="1:243" ht="15.6">
      <c r="A511" s="170">
        <f>A505+1</f>
        <v>103</v>
      </c>
      <c r="B511" s="327">
        <v>311</v>
      </c>
      <c r="C511" s="287"/>
      <c r="D511" s="905">
        <v>0</v>
      </c>
      <c r="E511" s="905">
        <v>0</v>
      </c>
      <c r="F511" s="905">
        <v>0</v>
      </c>
      <c r="G511" s="905">
        <v>0</v>
      </c>
      <c r="H511" s="905">
        <v>0</v>
      </c>
      <c r="I511" s="905">
        <v>0</v>
      </c>
      <c r="J511" s="905">
        <v>0</v>
      </c>
      <c r="K511" s="905">
        <v>0</v>
      </c>
      <c r="L511" s="905">
        <v>0</v>
      </c>
      <c r="M511" s="905">
        <v>0</v>
      </c>
      <c r="N511" s="905">
        <v>0</v>
      </c>
      <c r="O511" s="905">
        <v>0</v>
      </c>
      <c r="P511" s="339"/>
      <c r="S511" s="277"/>
      <c r="T511" s="277"/>
      <c r="U511" s="277"/>
      <c r="V511" s="277"/>
      <c r="W511" s="277"/>
      <c r="X511" s="277"/>
      <c r="Y511" s="277"/>
      <c r="Z511" s="277"/>
      <c r="AA511" s="277"/>
      <c r="AB511" s="277"/>
      <c r="AC511" s="277"/>
      <c r="AD511" s="277"/>
      <c r="AE511" s="277"/>
      <c r="AF511" s="277"/>
      <c r="AG511" s="277"/>
      <c r="AH511" s="277"/>
      <c r="AI511" s="277"/>
      <c r="AJ511" s="216"/>
      <c r="AK511" s="304"/>
      <c r="AL511" s="303"/>
      <c r="AM511" s="216"/>
      <c r="AN511" s="304"/>
      <c r="AO511" s="277"/>
      <c r="AP511" s="303"/>
      <c r="AQ511" s="303"/>
      <c r="AR511" s="304"/>
      <c r="AS511" s="303"/>
      <c r="AT511" s="303"/>
      <c r="AU511" s="303"/>
      <c r="AV511" s="303"/>
      <c r="AW511" s="213"/>
      <c r="AX511" s="213"/>
      <c r="AY511" s="213"/>
      <c r="AZ511" s="213"/>
      <c r="BA511" s="213"/>
      <c r="BB511" s="213"/>
      <c r="BC511" s="213"/>
      <c r="BD511" s="213"/>
      <c r="BE511" s="213"/>
      <c r="BF511" s="213"/>
      <c r="BG511" s="213"/>
      <c r="BH511" s="213"/>
      <c r="BI511" s="213"/>
      <c r="BJ511" s="213"/>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row>
    <row r="512" spans="1:243" ht="15.6">
      <c r="A512" s="170">
        <f>A511+1</f>
        <v>104</v>
      </c>
      <c r="B512" s="327">
        <v>312</v>
      </c>
      <c r="C512" s="287"/>
      <c r="D512" s="907">
        <v>0</v>
      </c>
      <c r="E512" s="907">
        <v>0</v>
      </c>
      <c r="F512" s="907">
        <v>0</v>
      </c>
      <c r="G512" s="907">
        <v>0</v>
      </c>
      <c r="H512" s="907">
        <v>0</v>
      </c>
      <c r="I512" s="907">
        <v>0</v>
      </c>
      <c r="J512" s="907">
        <v>0</v>
      </c>
      <c r="K512" s="907">
        <v>0</v>
      </c>
      <c r="L512" s="907">
        <v>0</v>
      </c>
      <c r="M512" s="907">
        <v>0</v>
      </c>
      <c r="N512" s="907">
        <v>0</v>
      </c>
      <c r="O512" s="907">
        <v>0</v>
      </c>
      <c r="P512" s="339"/>
      <c r="S512" s="277"/>
      <c r="T512" s="277"/>
      <c r="U512" s="277"/>
      <c r="V512" s="277"/>
      <c r="W512" s="277"/>
      <c r="X512" s="277"/>
      <c r="Y512" s="277"/>
      <c r="Z512" s="277"/>
      <c r="AA512" s="277"/>
      <c r="AB512" s="277"/>
      <c r="AC512" s="277"/>
      <c r="AD512" s="277"/>
      <c r="AE512" s="277"/>
      <c r="AF512" s="277"/>
      <c r="AG512" s="277"/>
      <c r="AH512" s="277"/>
      <c r="AI512" s="277"/>
      <c r="AJ512" s="216"/>
      <c r="AK512" s="304"/>
      <c r="AL512" s="303"/>
      <c r="AM512" s="216"/>
      <c r="AN512" s="304"/>
      <c r="AO512" s="277"/>
      <c r="AP512" s="303"/>
      <c r="AQ512" s="303"/>
      <c r="AR512" s="304"/>
      <c r="AS512" s="303"/>
      <c r="AT512" s="303"/>
      <c r="AU512" s="303"/>
      <c r="AV512" s="303"/>
      <c r="AW512" s="213"/>
      <c r="AX512" s="213"/>
      <c r="AY512" s="213"/>
      <c r="AZ512" s="213"/>
      <c r="BA512" s="213"/>
      <c r="BB512" s="213"/>
      <c r="BC512" s="213"/>
      <c r="BD512" s="213"/>
      <c r="BE512" s="213"/>
      <c r="BF512" s="213"/>
      <c r="BG512" s="213"/>
      <c r="BH512" s="213"/>
      <c r="BI512" s="213"/>
      <c r="BJ512" s="213"/>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row>
    <row r="513" spans="1:243" ht="15.6">
      <c r="A513" s="170">
        <f>A512+1</f>
        <v>105</v>
      </c>
      <c r="B513" s="327">
        <v>312.10000000000002</v>
      </c>
      <c r="C513" s="287"/>
      <c r="D513" s="907">
        <v>0</v>
      </c>
      <c r="E513" s="907">
        <v>0</v>
      </c>
      <c r="F513" s="907">
        <v>0</v>
      </c>
      <c r="G513" s="907">
        <v>0</v>
      </c>
      <c r="H513" s="907">
        <v>0</v>
      </c>
      <c r="I513" s="907">
        <v>0</v>
      </c>
      <c r="J513" s="907">
        <v>0</v>
      </c>
      <c r="K513" s="907">
        <v>0</v>
      </c>
      <c r="L513" s="907">
        <v>0</v>
      </c>
      <c r="M513" s="907">
        <v>0</v>
      </c>
      <c r="N513" s="907">
        <v>0</v>
      </c>
      <c r="O513" s="907">
        <v>0</v>
      </c>
      <c r="P513" s="339"/>
      <c r="S513" s="277"/>
      <c r="T513" s="277"/>
      <c r="U513" s="277"/>
      <c r="V513" s="277"/>
      <c r="W513" s="277"/>
      <c r="X513" s="277"/>
      <c r="Y513" s="277"/>
      <c r="Z513" s="277"/>
      <c r="AA513" s="277"/>
      <c r="AB513" s="277"/>
      <c r="AC513" s="277"/>
      <c r="AD513" s="277"/>
      <c r="AE513" s="277"/>
      <c r="AF513" s="277"/>
      <c r="AG513" s="277"/>
      <c r="AH513" s="277"/>
      <c r="AI513" s="277"/>
      <c r="AJ513" s="216"/>
      <c r="AK513" s="304"/>
      <c r="AL513" s="303"/>
      <c r="AM513" s="216"/>
      <c r="AN513" s="304"/>
      <c r="AO513" s="277"/>
      <c r="AP513" s="303"/>
      <c r="AQ513" s="303"/>
      <c r="AR513" s="304"/>
      <c r="AS513" s="303"/>
      <c r="AT513" s="303"/>
      <c r="AU513" s="303"/>
      <c r="AV513" s="303"/>
      <c r="AW513" s="213"/>
      <c r="AX513" s="213"/>
      <c r="AY513" s="213"/>
      <c r="AZ513" s="213"/>
      <c r="BA513" s="213"/>
      <c r="BB513" s="213"/>
      <c r="BC513" s="213"/>
      <c r="BD513" s="213"/>
      <c r="BE513" s="213"/>
      <c r="BF513" s="213"/>
      <c r="BG513" s="213"/>
      <c r="BH513" s="213"/>
      <c r="BI513" s="213"/>
      <c r="BJ513" s="2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row>
    <row r="514" spans="1:243" ht="15.6">
      <c r="A514" s="170">
        <f>A513+1</f>
        <v>106</v>
      </c>
      <c r="B514" s="327">
        <v>314</v>
      </c>
      <c r="C514" s="287"/>
      <c r="D514" s="907">
        <v>0</v>
      </c>
      <c r="E514" s="907">
        <v>0</v>
      </c>
      <c r="F514" s="907">
        <v>0</v>
      </c>
      <c r="G514" s="907">
        <v>0</v>
      </c>
      <c r="H514" s="907">
        <v>0</v>
      </c>
      <c r="I514" s="907">
        <v>0</v>
      </c>
      <c r="J514" s="907">
        <v>0</v>
      </c>
      <c r="K514" s="907">
        <v>0</v>
      </c>
      <c r="L514" s="907">
        <v>0</v>
      </c>
      <c r="M514" s="907">
        <v>0</v>
      </c>
      <c r="N514" s="907">
        <v>0</v>
      </c>
      <c r="O514" s="907">
        <v>0</v>
      </c>
      <c r="P514" s="339"/>
      <c r="S514" s="277"/>
      <c r="T514" s="277"/>
      <c r="U514" s="277"/>
      <c r="V514" s="277"/>
      <c r="W514" s="277"/>
      <c r="X514" s="277"/>
      <c r="Y514" s="277"/>
      <c r="Z514" s="277"/>
      <c r="AA514" s="277"/>
      <c r="AB514" s="277"/>
      <c r="AC514" s="277"/>
      <c r="AD514" s="277"/>
      <c r="AE514" s="277"/>
      <c r="AF514" s="277"/>
      <c r="AG514" s="277"/>
      <c r="AH514" s="277"/>
      <c r="AI514" s="277"/>
      <c r="AJ514" s="216"/>
      <c r="AK514" s="304"/>
      <c r="AL514" s="303"/>
      <c r="AM514" s="216"/>
      <c r="AN514" s="304"/>
      <c r="AO514" s="277"/>
      <c r="AP514" s="303"/>
      <c r="AQ514" s="303"/>
      <c r="AR514" s="304"/>
      <c r="AS514" s="303"/>
      <c r="AT514" s="303"/>
      <c r="AU514" s="303"/>
      <c r="AV514" s="303"/>
      <c r="AW514" s="213"/>
      <c r="AX514" s="213"/>
      <c r="AY514" s="213"/>
      <c r="AZ514" s="213"/>
      <c r="BA514" s="213"/>
      <c r="BB514" s="213"/>
      <c r="BC514" s="213"/>
      <c r="BD514" s="213"/>
      <c r="BE514" s="213"/>
      <c r="BF514" s="213"/>
      <c r="BG514" s="213"/>
      <c r="BH514" s="213"/>
      <c r="BI514" s="213"/>
      <c r="BJ514" s="213"/>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row>
    <row r="515" spans="1:243" ht="15.6">
      <c r="A515" s="170">
        <f>A514+1</f>
        <v>107</v>
      </c>
      <c r="B515" s="327">
        <v>315</v>
      </c>
      <c r="C515" s="287"/>
      <c r="D515" s="907">
        <v>0</v>
      </c>
      <c r="E515" s="907">
        <v>0</v>
      </c>
      <c r="F515" s="907">
        <v>0</v>
      </c>
      <c r="G515" s="907">
        <v>0</v>
      </c>
      <c r="H515" s="907">
        <v>0</v>
      </c>
      <c r="I515" s="907">
        <v>0</v>
      </c>
      <c r="J515" s="907">
        <v>0</v>
      </c>
      <c r="K515" s="907">
        <v>0</v>
      </c>
      <c r="L515" s="907">
        <v>0</v>
      </c>
      <c r="M515" s="907">
        <v>0</v>
      </c>
      <c r="N515" s="907">
        <v>0</v>
      </c>
      <c r="O515" s="907">
        <v>0</v>
      </c>
      <c r="P515" s="339"/>
      <c r="S515" s="277"/>
      <c r="T515" s="277"/>
      <c r="U515" s="277"/>
      <c r="V515" s="277"/>
      <c r="W515" s="277"/>
      <c r="X515" s="277"/>
      <c r="Y515" s="277"/>
      <c r="Z515" s="277"/>
      <c r="AA515" s="277"/>
      <c r="AB515" s="277"/>
      <c r="AC515" s="277"/>
      <c r="AD515" s="277"/>
      <c r="AE515" s="277"/>
      <c r="AF515" s="277"/>
      <c r="AG515" s="277"/>
      <c r="AH515" s="277"/>
      <c r="AI515" s="277"/>
      <c r="AJ515" s="216"/>
      <c r="AK515" s="304"/>
      <c r="AL515" s="303"/>
      <c r="AM515" s="216"/>
      <c r="AN515" s="304"/>
      <c r="AO515" s="277"/>
      <c r="AP515" s="303"/>
      <c r="AQ515" s="303"/>
      <c r="AR515" s="304"/>
      <c r="AS515" s="303"/>
      <c r="AT515" s="303"/>
      <c r="AU515" s="303"/>
      <c r="AV515" s="303"/>
      <c r="AW515" s="213"/>
      <c r="AX515" s="213"/>
      <c r="AY515" s="213"/>
      <c r="AZ515" s="213"/>
      <c r="BA515" s="213"/>
      <c r="BB515" s="213"/>
      <c r="BC515" s="213"/>
      <c r="BD515" s="213"/>
      <c r="BE515" s="213"/>
      <c r="BF515" s="213"/>
      <c r="BG515" s="213"/>
      <c r="BH515" s="213"/>
      <c r="BI515" s="213"/>
      <c r="BJ515" s="213"/>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row>
    <row r="516" spans="1:243" ht="15.6">
      <c r="A516" s="170">
        <f>A515+1</f>
        <v>108</v>
      </c>
      <c r="B516" s="327">
        <v>316</v>
      </c>
      <c r="C516" s="287"/>
      <c r="D516" s="907">
        <v>0</v>
      </c>
      <c r="E516" s="907">
        <v>0</v>
      </c>
      <c r="F516" s="907">
        <v>0</v>
      </c>
      <c r="G516" s="907">
        <v>0</v>
      </c>
      <c r="H516" s="907">
        <v>0</v>
      </c>
      <c r="I516" s="907">
        <v>0</v>
      </c>
      <c r="J516" s="907">
        <v>0</v>
      </c>
      <c r="K516" s="907">
        <v>0</v>
      </c>
      <c r="L516" s="907">
        <v>0</v>
      </c>
      <c r="M516" s="907">
        <v>0</v>
      </c>
      <c r="N516" s="907">
        <v>0</v>
      </c>
      <c r="O516" s="907">
        <v>0</v>
      </c>
      <c r="P516" s="339"/>
      <c r="S516" s="277"/>
      <c r="T516" s="277"/>
      <c r="U516" s="277"/>
      <c r="V516" s="277"/>
      <c r="W516" s="277"/>
      <c r="X516" s="277"/>
      <c r="Y516" s="277"/>
      <c r="Z516" s="277"/>
      <c r="AA516" s="277"/>
      <c r="AB516" s="277"/>
      <c r="AC516" s="277"/>
      <c r="AD516" s="277"/>
      <c r="AE516" s="277"/>
      <c r="AF516" s="277"/>
      <c r="AG516" s="277"/>
      <c r="AH516" s="277"/>
      <c r="AI516" s="277"/>
      <c r="AJ516" s="216"/>
      <c r="AK516" s="304"/>
      <c r="AL516" s="303"/>
      <c r="AM516" s="216"/>
      <c r="AN516" s="304"/>
      <c r="AO516" s="277"/>
      <c r="AP516" s="303"/>
      <c r="AQ516" s="303"/>
      <c r="AR516" s="304"/>
      <c r="AS516" s="303"/>
      <c r="AT516" s="303"/>
      <c r="AU516" s="303"/>
      <c r="AV516" s="303"/>
      <c r="AW516" s="213"/>
      <c r="AX516" s="213"/>
      <c r="AY516" s="213"/>
      <c r="AZ516" s="213"/>
      <c r="BA516" s="213"/>
      <c r="BB516" s="213"/>
      <c r="BC516" s="213"/>
      <c r="BD516" s="213"/>
      <c r="BE516" s="213"/>
      <c r="BF516" s="213"/>
      <c r="BG516" s="213"/>
      <c r="BH516" s="213"/>
      <c r="BI516" s="213"/>
      <c r="BJ516" s="213"/>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row>
    <row r="517" spans="1:243" ht="15.6">
      <c r="A517" s="170"/>
      <c r="B517" s="336"/>
      <c r="C517" s="287"/>
      <c r="D517" s="287"/>
      <c r="E517" s="287"/>
      <c r="F517" s="287"/>
      <c r="G517" s="287"/>
      <c r="H517" s="287"/>
      <c r="I517" s="287"/>
      <c r="J517" s="287"/>
      <c r="K517" s="334"/>
      <c r="L517" s="287"/>
      <c r="M517" s="287"/>
      <c r="N517" s="287"/>
      <c r="O517" s="287"/>
      <c r="P517" s="339"/>
      <c r="S517" s="277"/>
      <c r="T517" s="277"/>
      <c r="U517" s="277"/>
      <c r="V517" s="277"/>
      <c r="W517" s="277"/>
      <c r="X517" s="277"/>
      <c r="Y517" s="277"/>
      <c r="Z517" s="277"/>
      <c r="AA517" s="277"/>
      <c r="AB517" s="277"/>
      <c r="AC517" s="277"/>
      <c r="AD517" s="277"/>
      <c r="AE517" s="277"/>
      <c r="AF517" s="277"/>
      <c r="AG517" s="277"/>
      <c r="AH517" s="277"/>
      <c r="AI517" s="277"/>
      <c r="AJ517" s="216"/>
      <c r="AK517" s="304"/>
      <c r="AL517" s="303"/>
      <c r="AM517" s="216"/>
      <c r="AN517" s="304"/>
      <c r="AO517" s="277"/>
      <c r="AP517" s="303"/>
      <c r="AQ517" s="303"/>
      <c r="AR517" s="304"/>
      <c r="AS517" s="303"/>
      <c r="AT517" s="303"/>
      <c r="AU517" s="303"/>
      <c r="AV517" s="303"/>
      <c r="AW517" s="213"/>
      <c r="AX517" s="213"/>
      <c r="AY517" s="213"/>
      <c r="AZ517" s="213"/>
      <c r="BA517" s="213"/>
      <c r="BB517" s="213"/>
      <c r="BC517" s="213"/>
      <c r="BD517" s="213"/>
      <c r="BE517" s="213"/>
      <c r="BF517" s="213"/>
      <c r="BG517" s="213"/>
      <c r="BH517" s="213"/>
      <c r="BI517" s="213"/>
      <c r="BJ517" s="213"/>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row>
    <row r="518" spans="1:243" ht="18.600000000000001">
      <c r="A518" s="355"/>
      <c r="B518" s="355" t="s">
        <v>1078</v>
      </c>
      <c r="C518" s="334" t="s">
        <v>727</v>
      </c>
      <c r="D518" s="1778" t="s">
        <v>728</v>
      </c>
      <c r="E518" s="1779"/>
      <c r="F518" s="1779"/>
      <c r="G518" s="1779"/>
      <c r="H518" s="1779"/>
      <c r="I518" s="1779"/>
      <c r="J518" s="1779"/>
      <c r="K518" s="1779"/>
      <c r="L518" s="1779"/>
      <c r="M518" s="1779"/>
      <c r="N518" s="1779"/>
      <c r="O518" s="1779"/>
      <c r="P518" s="1779"/>
      <c r="S518" s="277"/>
      <c r="T518" s="277"/>
      <c r="U518" s="277"/>
      <c r="V518" s="277"/>
      <c r="W518" s="277"/>
      <c r="X518" s="277"/>
      <c r="Y518" s="277"/>
      <c r="Z518" s="277"/>
      <c r="AA518" s="277"/>
      <c r="AB518" s="277"/>
      <c r="AC518" s="277"/>
      <c r="AD518" s="277"/>
      <c r="AE518" s="277"/>
      <c r="AF518" s="277"/>
      <c r="AG518" s="277"/>
      <c r="AH518" s="277"/>
      <c r="AI518" s="277"/>
      <c r="AJ518" s="216"/>
      <c r="AK518" s="304"/>
      <c r="AL518" s="303"/>
      <c r="AM518" s="216"/>
      <c r="AN518" s="304"/>
      <c r="AO518" s="277"/>
      <c r="AP518" s="303"/>
      <c r="AQ518" s="303"/>
      <c r="AR518" s="304"/>
      <c r="AS518" s="303"/>
      <c r="AT518" s="303"/>
      <c r="AU518" s="303"/>
      <c r="AV518" s="303"/>
      <c r="AW518" s="213"/>
      <c r="AX518" s="213"/>
      <c r="AY518" s="213"/>
      <c r="AZ518" s="213"/>
      <c r="BA518" s="213"/>
      <c r="BB518" s="213"/>
      <c r="BC518" s="213"/>
      <c r="BD518" s="213"/>
      <c r="BE518" s="213"/>
      <c r="BF518" s="213"/>
      <c r="BG518" s="213"/>
      <c r="BH518" s="213"/>
      <c r="BI518" s="213"/>
      <c r="BJ518" s="213"/>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row>
    <row r="519" spans="1:243" ht="18.600000000000001">
      <c r="A519" s="322"/>
      <c r="B519" s="322" t="s">
        <v>928</v>
      </c>
      <c r="C519" s="335" t="s">
        <v>729</v>
      </c>
      <c r="D519" s="358" t="s">
        <v>716</v>
      </c>
      <c r="E519" s="358" t="s">
        <v>717</v>
      </c>
      <c r="F519" s="358" t="s">
        <v>718</v>
      </c>
      <c r="G519" s="358" t="s">
        <v>719</v>
      </c>
      <c r="H519" s="358" t="s">
        <v>720</v>
      </c>
      <c r="I519" s="358" t="s">
        <v>721</v>
      </c>
      <c r="J519" s="358" t="s">
        <v>722</v>
      </c>
      <c r="K519" s="358" t="s">
        <v>723</v>
      </c>
      <c r="L519" s="358" t="s">
        <v>724</v>
      </c>
      <c r="M519" s="358" t="s">
        <v>725</v>
      </c>
      <c r="N519" s="358" t="s">
        <v>726</v>
      </c>
      <c r="O519" s="358" t="s">
        <v>715</v>
      </c>
      <c r="P519" s="360" t="s">
        <v>468</v>
      </c>
      <c r="S519" s="277"/>
      <c r="T519" s="277"/>
      <c r="U519" s="277"/>
      <c r="V519" s="277"/>
      <c r="W519" s="277"/>
      <c r="X519" s="277"/>
      <c r="Y519" s="277"/>
      <c r="Z519" s="277"/>
      <c r="AA519" s="277"/>
      <c r="AB519" s="277"/>
      <c r="AC519" s="277"/>
      <c r="AD519" s="277"/>
      <c r="AE519" s="277"/>
      <c r="AF519" s="277"/>
      <c r="AG519" s="277"/>
      <c r="AH519" s="277"/>
      <c r="AI519" s="277"/>
      <c r="AJ519" s="216"/>
      <c r="AK519" s="304"/>
      <c r="AL519" s="303"/>
      <c r="AM519" s="216"/>
      <c r="AN519" s="304"/>
      <c r="AO519" s="277"/>
      <c r="AP519" s="303"/>
      <c r="AQ519" s="303"/>
      <c r="AR519" s="304"/>
      <c r="AS519" s="303"/>
      <c r="AT519" s="303"/>
      <c r="AU519" s="303"/>
      <c r="AV519" s="303"/>
      <c r="AW519" s="213"/>
      <c r="AX519" s="213"/>
      <c r="AY519" s="213"/>
      <c r="AZ519" s="213"/>
      <c r="BA519" s="213"/>
      <c r="BB519" s="213"/>
      <c r="BC519" s="213"/>
      <c r="BD519" s="213"/>
      <c r="BE519" s="213"/>
      <c r="BF519" s="213"/>
      <c r="BG519" s="213"/>
      <c r="BH519" s="213"/>
      <c r="BI519" s="213"/>
      <c r="BJ519" s="213"/>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row>
    <row r="520" spans="1:243" ht="15.6">
      <c r="A520" s="170">
        <f>A516+1</f>
        <v>109</v>
      </c>
      <c r="B520" s="327">
        <f t="shared" ref="B520:B525" si="116">B511</f>
        <v>311</v>
      </c>
      <c r="C520" s="906"/>
      <c r="D520" s="603">
        <f>D511*$C520/100/12</f>
        <v>0</v>
      </c>
      <c r="E520" s="603">
        <f t="shared" ref="E520:O520" si="117">E511*$C520/100/12</f>
        <v>0</v>
      </c>
      <c r="F520" s="603">
        <f t="shared" si="117"/>
        <v>0</v>
      </c>
      <c r="G520" s="603">
        <f t="shared" si="117"/>
        <v>0</v>
      </c>
      <c r="H520" s="603">
        <f t="shared" si="117"/>
        <v>0</v>
      </c>
      <c r="I520" s="603">
        <f t="shared" si="117"/>
        <v>0</v>
      </c>
      <c r="J520" s="603">
        <f t="shared" si="117"/>
        <v>0</v>
      </c>
      <c r="K520" s="603">
        <f t="shared" si="117"/>
        <v>0</v>
      </c>
      <c r="L520" s="603">
        <f t="shared" si="117"/>
        <v>0</v>
      </c>
      <c r="M520" s="603">
        <f t="shared" si="117"/>
        <v>0</v>
      </c>
      <c r="N520" s="603">
        <f t="shared" si="117"/>
        <v>0</v>
      </c>
      <c r="O520" s="603">
        <f t="shared" si="117"/>
        <v>0</v>
      </c>
      <c r="P520" s="333">
        <f t="shared" ref="P520:P525" si="118">SUM(D520:O520)</f>
        <v>0</v>
      </c>
      <c r="S520" s="277"/>
      <c r="T520" s="277"/>
      <c r="U520" s="277"/>
      <c r="V520" s="277"/>
      <c r="W520" s="277"/>
      <c r="X520" s="277"/>
      <c r="Y520" s="277"/>
      <c r="Z520" s="277"/>
      <c r="AA520" s="277"/>
      <c r="AB520" s="277"/>
      <c r="AC520" s="277"/>
      <c r="AD520" s="277"/>
      <c r="AE520" s="277"/>
      <c r="AF520" s="277"/>
      <c r="AG520" s="277"/>
      <c r="AH520" s="277"/>
      <c r="AI520" s="277"/>
      <c r="AJ520" s="216"/>
      <c r="AK520" s="304"/>
      <c r="AL520" s="303"/>
      <c r="AM520" s="216"/>
      <c r="AN520" s="304"/>
      <c r="AO520" s="277"/>
      <c r="AP520" s="303"/>
      <c r="AQ520" s="303"/>
      <c r="AR520" s="304"/>
      <c r="AS520" s="303"/>
      <c r="AT520" s="303"/>
      <c r="AU520" s="303"/>
      <c r="AV520" s="303"/>
      <c r="AW520" s="213"/>
      <c r="AX520" s="213"/>
      <c r="AY520" s="213"/>
      <c r="AZ520" s="213"/>
      <c r="BA520" s="213"/>
      <c r="BB520" s="213"/>
      <c r="BC520" s="213"/>
      <c r="BD520" s="213"/>
      <c r="BE520" s="213"/>
      <c r="BF520" s="213"/>
      <c r="BG520" s="213"/>
      <c r="BH520" s="213"/>
      <c r="BI520" s="213"/>
      <c r="BJ520" s="213"/>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row>
    <row r="521" spans="1:243" ht="15.6">
      <c r="A521" s="170">
        <f>A520+1</f>
        <v>110</v>
      </c>
      <c r="B521" s="327">
        <f t="shared" si="116"/>
        <v>312</v>
      </c>
      <c r="C521" s="906"/>
      <c r="D521" s="603">
        <f t="shared" ref="D521:O525" si="119">D512*$C521/100/12</f>
        <v>0</v>
      </c>
      <c r="E521" s="603">
        <f t="shared" si="119"/>
        <v>0</v>
      </c>
      <c r="F521" s="603">
        <f t="shared" si="119"/>
        <v>0</v>
      </c>
      <c r="G521" s="603">
        <f t="shared" si="119"/>
        <v>0</v>
      </c>
      <c r="H521" s="603">
        <f t="shared" si="119"/>
        <v>0</v>
      </c>
      <c r="I521" s="603">
        <f t="shared" si="119"/>
        <v>0</v>
      </c>
      <c r="J521" s="603">
        <f t="shared" si="119"/>
        <v>0</v>
      </c>
      <c r="K521" s="603">
        <f t="shared" si="119"/>
        <v>0</v>
      </c>
      <c r="L521" s="603">
        <f t="shared" si="119"/>
        <v>0</v>
      </c>
      <c r="M521" s="603">
        <f t="shared" si="119"/>
        <v>0</v>
      </c>
      <c r="N521" s="603">
        <f t="shared" si="119"/>
        <v>0</v>
      </c>
      <c r="O521" s="603">
        <f t="shared" si="119"/>
        <v>0</v>
      </c>
      <c r="P521" s="333">
        <f t="shared" si="118"/>
        <v>0</v>
      </c>
      <c r="S521" s="277"/>
      <c r="T521" s="277"/>
      <c r="U521" s="277"/>
      <c r="V521" s="277"/>
      <c r="W521" s="277"/>
      <c r="X521" s="277"/>
      <c r="Y521" s="277"/>
      <c r="Z521" s="277"/>
      <c r="AA521" s="277"/>
      <c r="AB521" s="277"/>
      <c r="AC521" s="277"/>
      <c r="AD521" s="277"/>
      <c r="AE521" s="277"/>
      <c r="AF521" s="277"/>
      <c r="AG521" s="277"/>
      <c r="AH521" s="277"/>
      <c r="AI521" s="277"/>
      <c r="AJ521" s="216"/>
      <c r="AK521" s="304"/>
      <c r="AL521" s="303"/>
      <c r="AM521" s="216"/>
      <c r="AN521" s="304"/>
      <c r="AO521" s="277"/>
      <c r="AP521" s="303"/>
      <c r="AQ521" s="303"/>
      <c r="AR521" s="304"/>
      <c r="AS521" s="303"/>
      <c r="AT521" s="303"/>
      <c r="AU521" s="303"/>
      <c r="AV521" s="303"/>
      <c r="AW521" s="213"/>
      <c r="AX521" s="213"/>
      <c r="AY521" s="213"/>
      <c r="AZ521" s="213"/>
      <c r="BA521" s="213"/>
      <c r="BB521" s="213"/>
      <c r="BC521" s="213"/>
      <c r="BD521" s="213"/>
      <c r="BE521" s="213"/>
      <c r="BF521" s="213"/>
      <c r="BG521" s="213"/>
      <c r="BH521" s="213"/>
      <c r="BI521" s="213"/>
      <c r="BJ521" s="213"/>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row>
    <row r="522" spans="1:243" ht="15.6">
      <c r="A522" s="170">
        <f>A521+1</f>
        <v>111</v>
      </c>
      <c r="B522" s="327">
        <f t="shared" si="116"/>
        <v>312.10000000000002</v>
      </c>
      <c r="C522" s="906"/>
      <c r="D522" s="603">
        <f t="shared" si="119"/>
        <v>0</v>
      </c>
      <c r="E522" s="603">
        <f t="shared" si="119"/>
        <v>0</v>
      </c>
      <c r="F522" s="603">
        <f t="shared" si="119"/>
        <v>0</v>
      </c>
      <c r="G522" s="603">
        <f t="shared" si="119"/>
        <v>0</v>
      </c>
      <c r="H522" s="603">
        <f t="shared" si="119"/>
        <v>0</v>
      </c>
      <c r="I522" s="603">
        <f t="shared" si="119"/>
        <v>0</v>
      </c>
      <c r="J522" s="603">
        <f t="shared" si="119"/>
        <v>0</v>
      </c>
      <c r="K522" s="603">
        <f t="shared" si="119"/>
        <v>0</v>
      </c>
      <c r="L522" s="603">
        <f t="shared" si="119"/>
        <v>0</v>
      </c>
      <c r="M522" s="603">
        <f t="shared" si="119"/>
        <v>0</v>
      </c>
      <c r="N522" s="603">
        <f t="shared" si="119"/>
        <v>0</v>
      </c>
      <c r="O522" s="603">
        <f t="shared" si="119"/>
        <v>0</v>
      </c>
      <c r="P522" s="333">
        <f t="shared" si="118"/>
        <v>0</v>
      </c>
      <c r="S522" s="277"/>
      <c r="T522" s="277"/>
      <c r="U522" s="277"/>
      <c r="V522" s="277"/>
      <c r="W522" s="277"/>
      <c r="X522" s="277"/>
      <c r="Y522" s="277"/>
      <c r="Z522" s="277"/>
      <c r="AA522" s="277"/>
      <c r="AB522" s="277"/>
      <c r="AC522" s="277"/>
      <c r="AD522" s="277"/>
      <c r="AE522" s="277"/>
      <c r="AF522" s="277"/>
      <c r="AG522" s="277"/>
      <c r="AH522" s="277"/>
      <c r="AI522" s="277"/>
      <c r="AJ522" s="216"/>
      <c r="AK522" s="304"/>
      <c r="AL522" s="303"/>
      <c r="AM522" s="216"/>
      <c r="AN522" s="304"/>
      <c r="AO522" s="277"/>
      <c r="AP522" s="303"/>
      <c r="AQ522" s="303"/>
      <c r="AR522" s="304"/>
      <c r="AS522" s="303"/>
      <c r="AT522" s="303"/>
      <c r="AU522" s="303"/>
      <c r="AV522" s="303"/>
      <c r="AW522" s="213"/>
      <c r="AX522" s="213"/>
      <c r="AY522" s="213"/>
      <c r="AZ522" s="213"/>
      <c r="BA522" s="213"/>
      <c r="BB522" s="213"/>
      <c r="BC522" s="213"/>
      <c r="BD522" s="213"/>
      <c r="BE522" s="213"/>
      <c r="BF522" s="213"/>
      <c r="BG522" s="213"/>
      <c r="BH522" s="213"/>
      <c r="BI522" s="213"/>
      <c r="BJ522" s="213"/>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row>
    <row r="523" spans="1:243" ht="15.6">
      <c r="A523" s="170">
        <f>A522+1</f>
        <v>112</v>
      </c>
      <c r="B523" s="327">
        <f t="shared" si="116"/>
        <v>314</v>
      </c>
      <c r="C523" s="906"/>
      <c r="D523" s="603">
        <f t="shared" si="119"/>
        <v>0</v>
      </c>
      <c r="E523" s="603">
        <f t="shared" si="119"/>
        <v>0</v>
      </c>
      <c r="F523" s="603">
        <f t="shared" si="119"/>
        <v>0</v>
      </c>
      <c r="G523" s="603">
        <f t="shared" si="119"/>
        <v>0</v>
      </c>
      <c r="H523" s="603">
        <f t="shared" si="119"/>
        <v>0</v>
      </c>
      <c r="I523" s="603">
        <f t="shared" si="119"/>
        <v>0</v>
      </c>
      <c r="J523" s="603">
        <f t="shared" si="119"/>
        <v>0</v>
      </c>
      <c r="K523" s="603">
        <f t="shared" si="119"/>
        <v>0</v>
      </c>
      <c r="L523" s="603">
        <f t="shared" si="119"/>
        <v>0</v>
      </c>
      <c r="M523" s="603">
        <f t="shared" si="119"/>
        <v>0</v>
      </c>
      <c r="N523" s="603">
        <f t="shared" si="119"/>
        <v>0</v>
      </c>
      <c r="O523" s="603">
        <f t="shared" si="119"/>
        <v>0</v>
      </c>
      <c r="P523" s="333">
        <f t="shared" si="118"/>
        <v>0</v>
      </c>
      <c r="S523" s="277"/>
      <c r="T523" s="277"/>
      <c r="U523" s="277"/>
      <c r="V523" s="277"/>
      <c r="W523" s="277"/>
      <c r="X523" s="277"/>
      <c r="Y523" s="277"/>
      <c r="Z523" s="277"/>
      <c r="AA523" s="277"/>
      <c r="AB523" s="277"/>
      <c r="AC523" s="277"/>
      <c r="AD523" s="277"/>
      <c r="AE523" s="277"/>
      <c r="AF523" s="277"/>
      <c r="AG523" s="277"/>
      <c r="AH523" s="277"/>
      <c r="AI523" s="277"/>
      <c r="AJ523" s="216"/>
      <c r="AK523" s="304"/>
      <c r="AL523" s="303"/>
      <c r="AM523" s="216"/>
      <c r="AN523" s="304"/>
      <c r="AO523" s="277"/>
      <c r="AP523" s="303"/>
      <c r="AQ523" s="303"/>
      <c r="AR523" s="304"/>
      <c r="AS523" s="303"/>
      <c r="AT523" s="303"/>
      <c r="AU523" s="303"/>
      <c r="AV523" s="303"/>
      <c r="AW523" s="213"/>
      <c r="AX523" s="213"/>
      <c r="AY523" s="213"/>
      <c r="AZ523" s="213"/>
      <c r="BA523" s="213"/>
      <c r="BB523" s="213"/>
      <c r="BC523" s="213"/>
      <c r="BD523" s="213"/>
      <c r="BE523" s="213"/>
      <c r="BF523" s="213"/>
      <c r="BG523" s="213"/>
      <c r="BH523" s="213"/>
      <c r="BI523" s="213"/>
      <c r="BJ523" s="21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row>
    <row r="524" spans="1:243" ht="15.6">
      <c r="A524" s="170">
        <f>A523+1</f>
        <v>113</v>
      </c>
      <c r="B524" s="327">
        <f t="shared" si="116"/>
        <v>315</v>
      </c>
      <c r="C524" s="906"/>
      <c r="D524" s="603">
        <f t="shared" si="119"/>
        <v>0</v>
      </c>
      <c r="E524" s="603">
        <f t="shared" si="119"/>
        <v>0</v>
      </c>
      <c r="F524" s="603">
        <f t="shared" si="119"/>
        <v>0</v>
      </c>
      <c r="G524" s="603">
        <f t="shared" si="119"/>
        <v>0</v>
      </c>
      <c r="H524" s="603">
        <f t="shared" si="119"/>
        <v>0</v>
      </c>
      <c r="I524" s="603">
        <f t="shared" si="119"/>
        <v>0</v>
      </c>
      <c r="J524" s="603">
        <f t="shared" si="119"/>
        <v>0</v>
      </c>
      <c r="K524" s="603">
        <f t="shared" si="119"/>
        <v>0</v>
      </c>
      <c r="L524" s="603">
        <f t="shared" si="119"/>
        <v>0</v>
      </c>
      <c r="M524" s="603">
        <f t="shared" si="119"/>
        <v>0</v>
      </c>
      <c r="N524" s="603">
        <f t="shared" si="119"/>
        <v>0</v>
      </c>
      <c r="O524" s="603">
        <f t="shared" si="119"/>
        <v>0</v>
      </c>
      <c r="P524" s="333">
        <f t="shared" si="118"/>
        <v>0</v>
      </c>
      <c r="S524" s="277"/>
      <c r="T524" s="277"/>
      <c r="U524" s="277"/>
      <c r="V524" s="277"/>
      <c r="W524" s="277"/>
      <c r="X524" s="277"/>
      <c r="Y524" s="277"/>
      <c r="Z524" s="277"/>
      <c r="AA524" s="277"/>
      <c r="AB524" s="277"/>
      <c r="AC524" s="277"/>
      <c r="AD524" s="277"/>
      <c r="AE524" s="277"/>
      <c r="AF524" s="277"/>
      <c r="AG524" s="277"/>
      <c r="AH524" s="277"/>
      <c r="AI524" s="277"/>
      <c r="AJ524" s="216"/>
      <c r="AK524" s="304"/>
      <c r="AL524" s="303"/>
      <c r="AM524" s="216"/>
      <c r="AN524" s="304"/>
      <c r="AO524" s="277"/>
      <c r="AP524" s="303"/>
      <c r="AQ524" s="303"/>
      <c r="AR524" s="304"/>
      <c r="AS524" s="303"/>
      <c r="AT524" s="303"/>
      <c r="AU524" s="303"/>
      <c r="AV524" s="303"/>
      <c r="AW524" s="213"/>
      <c r="AX524" s="213"/>
      <c r="AY524" s="213"/>
      <c r="AZ524" s="213"/>
      <c r="BA524" s="213"/>
      <c r="BB524" s="213"/>
      <c r="BC524" s="213"/>
      <c r="BD524" s="213"/>
      <c r="BE524" s="213"/>
      <c r="BF524" s="213"/>
      <c r="BG524" s="213"/>
      <c r="BH524" s="213"/>
      <c r="BI524" s="213"/>
      <c r="BJ524" s="213"/>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row>
    <row r="525" spans="1:243" ht="15.6">
      <c r="A525" s="170">
        <f>A524+1</f>
        <v>114</v>
      </c>
      <c r="B525" s="327">
        <f t="shared" si="116"/>
        <v>316</v>
      </c>
      <c r="C525" s="906"/>
      <c r="D525" s="603">
        <f t="shared" si="119"/>
        <v>0</v>
      </c>
      <c r="E525" s="603">
        <f t="shared" si="119"/>
        <v>0</v>
      </c>
      <c r="F525" s="603">
        <f t="shared" si="119"/>
        <v>0</v>
      </c>
      <c r="G525" s="603">
        <f t="shared" si="119"/>
        <v>0</v>
      </c>
      <c r="H525" s="603">
        <f t="shared" si="119"/>
        <v>0</v>
      </c>
      <c r="I525" s="603">
        <f t="shared" si="119"/>
        <v>0</v>
      </c>
      <c r="J525" s="603">
        <f t="shared" si="119"/>
        <v>0</v>
      </c>
      <c r="K525" s="603">
        <f t="shared" si="119"/>
        <v>0</v>
      </c>
      <c r="L525" s="603">
        <f t="shared" si="119"/>
        <v>0</v>
      </c>
      <c r="M525" s="603">
        <f t="shared" si="119"/>
        <v>0</v>
      </c>
      <c r="N525" s="603">
        <f t="shared" si="119"/>
        <v>0</v>
      </c>
      <c r="O525" s="603">
        <f t="shared" si="119"/>
        <v>0</v>
      </c>
      <c r="P525" s="333">
        <f t="shared" si="118"/>
        <v>0</v>
      </c>
      <c r="S525" s="277"/>
      <c r="T525" s="277"/>
      <c r="U525" s="277"/>
      <c r="V525" s="277"/>
      <c r="W525" s="277"/>
      <c r="X525" s="277"/>
      <c r="Y525" s="277"/>
      <c r="Z525" s="277"/>
      <c r="AA525" s="277"/>
      <c r="AB525" s="277"/>
      <c r="AC525" s="277"/>
      <c r="AD525" s="277"/>
      <c r="AE525" s="277"/>
      <c r="AF525" s="277"/>
      <c r="AG525" s="277"/>
      <c r="AH525" s="277"/>
      <c r="AI525" s="277"/>
      <c r="AJ525" s="216"/>
      <c r="AK525" s="304"/>
      <c r="AL525" s="303"/>
      <c r="AM525" s="216"/>
      <c r="AN525" s="304"/>
      <c r="AO525" s="277"/>
      <c r="AP525" s="303"/>
      <c r="AQ525" s="303"/>
      <c r="AR525" s="304"/>
      <c r="AS525" s="303"/>
      <c r="AT525" s="303"/>
      <c r="AU525" s="303"/>
      <c r="AV525" s="303"/>
      <c r="AW525" s="213"/>
      <c r="AX525" s="213"/>
      <c r="AY525" s="213"/>
      <c r="AZ525" s="213"/>
      <c r="BA525" s="213"/>
      <c r="BB525" s="213"/>
      <c r="BC525" s="213"/>
      <c r="BD525" s="213"/>
      <c r="BE525" s="213"/>
      <c r="BF525" s="213"/>
      <c r="BG525" s="213"/>
      <c r="BH525" s="213"/>
      <c r="BI525" s="213"/>
      <c r="BJ525" s="213"/>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row>
    <row r="526" spans="1:243" ht="15.6">
      <c r="A526" s="355"/>
      <c r="B526" s="287"/>
      <c r="C526" s="287"/>
      <c r="D526" s="287"/>
      <c r="E526" s="287"/>
      <c r="F526" s="287"/>
      <c r="G526" s="287"/>
      <c r="H526" s="287"/>
      <c r="I526" s="287"/>
      <c r="J526" s="287"/>
      <c r="K526" s="334"/>
      <c r="L526" s="287"/>
      <c r="M526" s="287"/>
      <c r="N526" s="287"/>
      <c r="O526" s="287"/>
      <c r="P526" s="339"/>
      <c r="S526" s="277"/>
      <c r="T526" s="277"/>
      <c r="U526" s="277"/>
      <c r="V526" s="277"/>
      <c r="W526" s="277"/>
      <c r="X526" s="277"/>
      <c r="Y526" s="277"/>
      <c r="Z526" s="277"/>
      <c r="AA526" s="277"/>
      <c r="AB526" s="277"/>
      <c r="AC526" s="277"/>
      <c r="AD526" s="277"/>
      <c r="AE526" s="277"/>
      <c r="AF526" s="277"/>
      <c r="AG526" s="277"/>
      <c r="AH526" s="277"/>
      <c r="AI526" s="277"/>
      <c r="AJ526" s="216"/>
      <c r="AK526" s="304"/>
      <c r="AL526" s="303"/>
      <c r="AM526" s="216"/>
      <c r="AN526" s="304"/>
      <c r="AO526" s="277"/>
      <c r="AP526" s="303"/>
      <c r="AQ526" s="303"/>
      <c r="AR526" s="304"/>
      <c r="AS526" s="303"/>
      <c r="AT526" s="303"/>
      <c r="AU526" s="303"/>
      <c r="AV526" s="303"/>
      <c r="AW526" s="213"/>
      <c r="AX526" s="213"/>
      <c r="AY526" s="213"/>
      <c r="AZ526" s="213"/>
      <c r="BA526" s="213"/>
      <c r="BB526" s="213"/>
      <c r="BC526" s="213"/>
      <c r="BD526" s="213"/>
      <c r="BE526" s="213"/>
      <c r="BF526" s="213"/>
      <c r="BG526" s="213"/>
      <c r="BH526" s="213"/>
      <c r="BI526" s="213"/>
      <c r="BJ526" s="213"/>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row>
    <row r="527" spans="1:243" ht="18.600000000000001">
      <c r="A527" s="355"/>
      <c r="B527" s="355" t="s">
        <v>1078</v>
      </c>
      <c r="C527" s="334" t="s">
        <v>730</v>
      </c>
      <c r="D527" s="1778" t="s">
        <v>731</v>
      </c>
      <c r="E527" s="1779"/>
      <c r="F527" s="1779"/>
      <c r="G527" s="1779"/>
      <c r="H527" s="1779"/>
      <c r="I527" s="1779"/>
      <c r="J527" s="1779"/>
      <c r="K527" s="1779"/>
      <c r="L527" s="1779"/>
      <c r="M527" s="1779"/>
      <c r="N527" s="1779"/>
      <c r="O527" s="1779"/>
      <c r="P527" s="1779"/>
      <c r="S527" s="277"/>
      <c r="T527" s="277"/>
      <c r="U527" s="277"/>
      <c r="V527" s="277"/>
      <c r="W527" s="277"/>
      <c r="X527" s="277"/>
      <c r="Y527" s="277"/>
      <c r="Z527" s="277"/>
      <c r="AA527" s="277"/>
      <c r="AB527" s="277"/>
      <c r="AC527" s="277"/>
      <c r="AD527" s="277"/>
      <c r="AE527" s="277"/>
      <c r="AF527" s="277"/>
      <c r="AG527" s="277"/>
      <c r="AH527" s="277"/>
      <c r="AI527" s="277"/>
      <c r="AJ527" s="216"/>
      <c r="AK527" s="304"/>
      <c r="AL527" s="303"/>
      <c r="AM527" s="216"/>
      <c r="AN527" s="304"/>
      <c r="AO527" s="277"/>
      <c r="AP527" s="303"/>
      <c r="AQ527" s="303"/>
      <c r="AR527" s="304"/>
      <c r="AS527" s="303"/>
      <c r="AT527" s="303"/>
      <c r="AU527" s="303"/>
      <c r="AV527" s="303"/>
      <c r="AW527" s="213"/>
      <c r="AX527" s="213"/>
      <c r="AY527" s="213"/>
      <c r="AZ527" s="213"/>
      <c r="BA527" s="213"/>
      <c r="BB527" s="213"/>
      <c r="BC527" s="213"/>
      <c r="BD527" s="213"/>
      <c r="BE527" s="213"/>
      <c r="BF527" s="213"/>
      <c r="BG527" s="213"/>
      <c r="BH527" s="213"/>
      <c r="BI527" s="213"/>
      <c r="BJ527" s="213"/>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row>
    <row r="528" spans="1:243" ht="18.600000000000001">
      <c r="A528" s="355"/>
      <c r="B528" s="322" t="s">
        <v>928</v>
      </c>
      <c r="C528" s="335" t="s">
        <v>732</v>
      </c>
      <c r="D528" s="358" t="s">
        <v>716</v>
      </c>
      <c r="E528" s="358" t="s">
        <v>717</v>
      </c>
      <c r="F528" s="358" t="s">
        <v>718</v>
      </c>
      <c r="G528" s="358" t="s">
        <v>719</v>
      </c>
      <c r="H528" s="358" t="s">
        <v>720</v>
      </c>
      <c r="I528" s="358" t="s">
        <v>721</v>
      </c>
      <c r="J528" s="358" t="s">
        <v>722</v>
      </c>
      <c r="K528" s="358" t="s">
        <v>723</v>
      </c>
      <c r="L528" s="358" t="s">
        <v>724</v>
      </c>
      <c r="M528" s="358" t="s">
        <v>725</v>
      </c>
      <c r="N528" s="358" t="s">
        <v>726</v>
      </c>
      <c r="O528" s="358" t="s">
        <v>715</v>
      </c>
      <c r="P528" s="360" t="s">
        <v>628</v>
      </c>
      <c r="S528" s="277"/>
      <c r="T528" s="277"/>
      <c r="U528" s="277"/>
      <c r="V528" s="277"/>
      <c r="W528" s="277"/>
      <c r="X528" s="277"/>
      <c r="Y528" s="277"/>
      <c r="Z528" s="277"/>
      <c r="AA528" s="277"/>
      <c r="AB528" s="277"/>
      <c r="AC528" s="277"/>
      <c r="AD528" s="277"/>
      <c r="AE528" s="277"/>
      <c r="AF528" s="277"/>
      <c r="AG528" s="277"/>
      <c r="AH528" s="277"/>
      <c r="AI528" s="277"/>
      <c r="AJ528" s="216"/>
      <c r="AK528" s="304"/>
      <c r="AL528" s="303"/>
      <c r="AM528" s="216"/>
      <c r="AN528" s="304"/>
      <c r="AO528" s="277"/>
      <c r="AP528" s="303"/>
      <c r="AQ528" s="303"/>
      <c r="AR528" s="304"/>
      <c r="AS528" s="303"/>
      <c r="AT528" s="303"/>
      <c r="AU528" s="303"/>
      <c r="AV528" s="303"/>
      <c r="AW528" s="213"/>
      <c r="AX528" s="213"/>
      <c r="AY528" s="213"/>
      <c r="AZ528" s="213"/>
      <c r="BA528" s="213"/>
      <c r="BB528" s="213"/>
      <c r="BC528" s="213"/>
      <c r="BD528" s="213"/>
      <c r="BE528" s="213"/>
      <c r="BF528" s="213"/>
      <c r="BG528" s="213"/>
      <c r="BH528" s="213"/>
      <c r="BI528" s="213"/>
      <c r="BJ528" s="213"/>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row>
    <row r="529" spans="1:243" ht="15.6">
      <c r="A529" s="170">
        <f>A525+1</f>
        <v>115</v>
      </c>
      <c r="B529" s="327">
        <f t="shared" ref="B529:B534" si="120">B511</f>
        <v>311</v>
      </c>
      <c r="C529" s="907">
        <v>0</v>
      </c>
      <c r="D529" s="603">
        <f t="shared" ref="D529:O534" si="121">C529+D520</f>
        <v>0</v>
      </c>
      <c r="E529" s="603">
        <f t="shared" si="121"/>
        <v>0</v>
      </c>
      <c r="F529" s="603">
        <f t="shared" si="121"/>
        <v>0</v>
      </c>
      <c r="G529" s="603">
        <f t="shared" si="121"/>
        <v>0</v>
      </c>
      <c r="H529" s="603">
        <f t="shared" si="121"/>
        <v>0</v>
      </c>
      <c r="I529" s="603">
        <f t="shared" si="121"/>
        <v>0</v>
      </c>
      <c r="J529" s="603">
        <f t="shared" si="121"/>
        <v>0</v>
      </c>
      <c r="K529" s="603">
        <f t="shared" si="121"/>
        <v>0</v>
      </c>
      <c r="L529" s="603">
        <f t="shared" si="121"/>
        <v>0</v>
      </c>
      <c r="M529" s="603">
        <f t="shared" si="121"/>
        <v>0</v>
      </c>
      <c r="N529" s="603">
        <f t="shared" si="121"/>
        <v>0</v>
      </c>
      <c r="O529" s="603">
        <f t="shared" si="121"/>
        <v>0</v>
      </c>
      <c r="P529" s="333">
        <f t="shared" ref="P529:P534" si="122">O529</f>
        <v>0</v>
      </c>
      <c r="S529" s="277"/>
      <c r="T529" s="277"/>
      <c r="U529" s="277"/>
      <c r="V529" s="277"/>
      <c r="W529" s="277"/>
      <c r="X529" s="277"/>
      <c r="Y529" s="277"/>
      <c r="Z529" s="277"/>
      <c r="AA529" s="277"/>
      <c r="AB529" s="277"/>
      <c r="AC529" s="277"/>
      <c r="AD529" s="277"/>
      <c r="AE529" s="277"/>
      <c r="AF529" s="277"/>
      <c r="AG529" s="277"/>
      <c r="AH529" s="277"/>
      <c r="AI529" s="277"/>
      <c r="AJ529" s="216"/>
      <c r="AK529" s="304"/>
      <c r="AL529" s="303"/>
      <c r="AM529" s="216"/>
      <c r="AN529" s="304"/>
      <c r="AO529" s="277"/>
      <c r="AP529" s="303"/>
      <c r="AQ529" s="303"/>
      <c r="AR529" s="304"/>
      <c r="AS529" s="303"/>
      <c r="AT529" s="303"/>
      <c r="AU529" s="303"/>
      <c r="AV529" s="303"/>
      <c r="AW529" s="213"/>
      <c r="AX529" s="213"/>
      <c r="AY529" s="213"/>
      <c r="AZ529" s="213"/>
      <c r="BA529" s="213"/>
      <c r="BB529" s="213"/>
      <c r="BC529" s="213"/>
      <c r="BD529" s="213"/>
      <c r="BE529" s="213"/>
      <c r="BF529" s="213"/>
      <c r="BG529" s="213"/>
      <c r="BH529" s="213"/>
      <c r="BI529" s="213"/>
      <c r="BJ529" s="213"/>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row>
    <row r="530" spans="1:243" ht="15.6">
      <c r="A530" s="170">
        <f>A529+1</f>
        <v>116</v>
      </c>
      <c r="B530" s="327">
        <f t="shared" si="120"/>
        <v>312</v>
      </c>
      <c r="C530" s="907">
        <v>0</v>
      </c>
      <c r="D530" s="603">
        <f t="shared" si="121"/>
        <v>0</v>
      </c>
      <c r="E530" s="603">
        <f t="shared" si="121"/>
        <v>0</v>
      </c>
      <c r="F530" s="603">
        <f t="shared" si="121"/>
        <v>0</v>
      </c>
      <c r="G530" s="603">
        <f t="shared" si="121"/>
        <v>0</v>
      </c>
      <c r="H530" s="603">
        <f t="shared" si="121"/>
        <v>0</v>
      </c>
      <c r="I530" s="603">
        <f t="shared" si="121"/>
        <v>0</v>
      </c>
      <c r="J530" s="603">
        <f t="shared" si="121"/>
        <v>0</v>
      </c>
      <c r="K530" s="603">
        <f t="shared" si="121"/>
        <v>0</v>
      </c>
      <c r="L530" s="603">
        <f t="shared" si="121"/>
        <v>0</v>
      </c>
      <c r="M530" s="603">
        <f t="shared" si="121"/>
        <v>0</v>
      </c>
      <c r="N530" s="603">
        <f t="shared" si="121"/>
        <v>0</v>
      </c>
      <c r="O530" s="603">
        <f t="shared" si="121"/>
        <v>0</v>
      </c>
      <c r="P530" s="333">
        <f t="shared" si="122"/>
        <v>0</v>
      </c>
      <c r="S530" s="277"/>
      <c r="T530" s="277"/>
      <c r="U530" s="277"/>
      <c r="V530" s="277"/>
      <c r="W530" s="277"/>
      <c r="X530" s="277"/>
      <c r="Y530" s="277"/>
      <c r="Z530" s="277"/>
      <c r="AA530" s="277"/>
      <c r="AB530" s="277"/>
      <c r="AC530" s="277"/>
      <c r="AD530" s="277"/>
      <c r="AE530" s="277"/>
      <c r="AF530" s="277"/>
      <c r="AG530" s="277"/>
      <c r="AH530" s="277"/>
      <c r="AI530" s="277"/>
      <c r="AJ530" s="216"/>
      <c r="AK530" s="304"/>
      <c r="AL530" s="303"/>
      <c r="AM530" s="216"/>
      <c r="AN530" s="304"/>
      <c r="AO530" s="277"/>
      <c r="AP530" s="303"/>
      <c r="AQ530" s="303"/>
      <c r="AR530" s="304"/>
      <c r="AS530" s="303"/>
      <c r="AT530" s="303"/>
      <c r="AU530" s="303"/>
      <c r="AV530" s="303"/>
      <c r="AW530" s="213"/>
      <c r="AX530" s="213"/>
      <c r="AY530" s="213"/>
      <c r="AZ530" s="213"/>
      <c r="BA530" s="213"/>
      <c r="BB530" s="213"/>
      <c r="BC530" s="213"/>
      <c r="BD530" s="213"/>
      <c r="BE530" s="213"/>
      <c r="BF530" s="213"/>
      <c r="BG530" s="213"/>
      <c r="BH530" s="213"/>
      <c r="BI530" s="213"/>
      <c r="BJ530" s="213"/>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row>
    <row r="531" spans="1:243" ht="15.6">
      <c r="A531" s="170">
        <f>A530+1</f>
        <v>117</v>
      </c>
      <c r="B531" s="327">
        <f t="shared" si="120"/>
        <v>312.10000000000002</v>
      </c>
      <c r="C531" s="907">
        <v>0</v>
      </c>
      <c r="D531" s="603">
        <f t="shared" si="121"/>
        <v>0</v>
      </c>
      <c r="E531" s="603">
        <f t="shared" si="121"/>
        <v>0</v>
      </c>
      <c r="F531" s="603">
        <f t="shared" si="121"/>
        <v>0</v>
      </c>
      <c r="G531" s="603">
        <f t="shared" si="121"/>
        <v>0</v>
      </c>
      <c r="H531" s="603">
        <f t="shared" si="121"/>
        <v>0</v>
      </c>
      <c r="I531" s="603">
        <f t="shared" si="121"/>
        <v>0</v>
      </c>
      <c r="J531" s="603">
        <f t="shared" si="121"/>
        <v>0</v>
      </c>
      <c r="K531" s="603">
        <f t="shared" si="121"/>
        <v>0</v>
      </c>
      <c r="L531" s="603">
        <f t="shared" si="121"/>
        <v>0</v>
      </c>
      <c r="M531" s="603">
        <f t="shared" si="121"/>
        <v>0</v>
      </c>
      <c r="N531" s="603">
        <f t="shared" si="121"/>
        <v>0</v>
      </c>
      <c r="O531" s="603">
        <f t="shared" si="121"/>
        <v>0</v>
      </c>
      <c r="P531" s="333">
        <f t="shared" si="122"/>
        <v>0</v>
      </c>
      <c r="S531" s="277"/>
      <c r="T531" s="277"/>
      <c r="U531" s="277"/>
      <c r="V531" s="277"/>
      <c r="W531" s="277"/>
      <c r="X531" s="277"/>
      <c r="Y531" s="277"/>
      <c r="Z531" s="277"/>
      <c r="AA531" s="277"/>
      <c r="AB531" s="277"/>
      <c r="AC531" s="277"/>
      <c r="AD531" s="277"/>
      <c r="AE531" s="277"/>
      <c r="AF531" s="277"/>
      <c r="AG531" s="277"/>
      <c r="AH531" s="277"/>
      <c r="AI531" s="277"/>
      <c r="AJ531" s="216"/>
      <c r="AK531" s="304"/>
      <c r="AL531" s="303"/>
      <c r="AM531" s="216"/>
      <c r="AN531" s="304"/>
      <c r="AO531" s="277"/>
      <c r="AP531" s="303"/>
      <c r="AQ531" s="303"/>
      <c r="AR531" s="304"/>
      <c r="AS531" s="303"/>
      <c r="AT531" s="303"/>
      <c r="AU531" s="303"/>
      <c r="AV531" s="303"/>
      <c r="AW531" s="213"/>
      <c r="AX531" s="213"/>
      <c r="AY531" s="213"/>
      <c r="AZ531" s="213"/>
      <c r="BA531" s="213"/>
      <c r="BB531" s="213"/>
      <c r="BC531" s="213"/>
      <c r="BD531" s="213"/>
      <c r="BE531" s="213"/>
      <c r="BF531" s="213"/>
      <c r="BG531" s="213"/>
      <c r="BH531" s="213"/>
      <c r="BI531" s="213"/>
      <c r="BJ531" s="213"/>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row>
    <row r="532" spans="1:243" ht="15.6">
      <c r="A532" s="170">
        <f>A531+1</f>
        <v>118</v>
      </c>
      <c r="B532" s="327">
        <f t="shared" si="120"/>
        <v>314</v>
      </c>
      <c r="C532" s="907">
        <v>0</v>
      </c>
      <c r="D532" s="603">
        <f t="shared" si="121"/>
        <v>0</v>
      </c>
      <c r="E532" s="603">
        <f t="shared" si="121"/>
        <v>0</v>
      </c>
      <c r="F532" s="603">
        <f t="shared" si="121"/>
        <v>0</v>
      </c>
      <c r="G532" s="603">
        <f t="shared" si="121"/>
        <v>0</v>
      </c>
      <c r="H532" s="603">
        <f t="shared" si="121"/>
        <v>0</v>
      </c>
      <c r="I532" s="603">
        <f t="shared" si="121"/>
        <v>0</v>
      </c>
      <c r="J532" s="603">
        <f t="shared" si="121"/>
        <v>0</v>
      </c>
      <c r="K532" s="603">
        <f t="shared" si="121"/>
        <v>0</v>
      </c>
      <c r="L532" s="603">
        <f t="shared" si="121"/>
        <v>0</v>
      </c>
      <c r="M532" s="603">
        <f t="shared" si="121"/>
        <v>0</v>
      </c>
      <c r="N532" s="603">
        <f t="shared" si="121"/>
        <v>0</v>
      </c>
      <c r="O532" s="603">
        <f t="shared" si="121"/>
        <v>0</v>
      </c>
      <c r="P532" s="333">
        <f t="shared" si="122"/>
        <v>0</v>
      </c>
      <c r="S532" s="277"/>
      <c r="T532" s="277"/>
      <c r="U532" s="277"/>
      <c r="V532" s="277"/>
      <c r="W532" s="277"/>
      <c r="X532" s="277"/>
      <c r="Y532" s="277"/>
      <c r="Z532" s="277"/>
      <c r="AA532" s="277"/>
      <c r="AB532" s="277"/>
      <c r="AC532" s="277"/>
      <c r="AD532" s="277"/>
      <c r="AE532" s="277"/>
      <c r="AF532" s="277"/>
      <c r="AG532" s="277"/>
      <c r="AH532" s="277"/>
      <c r="AI532" s="277"/>
      <c r="AJ532" s="216"/>
      <c r="AK532" s="304"/>
      <c r="AL532" s="303"/>
      <c r="AM532" s="216"/>
      <c r="AN532" s="304"/>
      <c r="AO532" s="277"/>
      <c r="AP532" s="303"/>
      <c r="AQ532" s="303"/>
      <c r="AR532" s="304"/>
      <c r="AS532" s="303"/>
      <c r="AT532" s="303"/>
      <c r="AU532" s="303"/>
      <c r="AV532" s="303"/>
      <c r="AW532" s="213"/>
      <c r="AX532" s="213"/>
      <c r="AY532" s="213"/>
      <c r="AZ532" s="213"/>
      <c r="BA532" s="213"/>
      <c r="BB532" s="213"/>
      <c r="BC532" s="213"/>
      <c r="BD532" s="213"/>
      <c r="BE532" s="213"/>
      <c r="BF532" s="213"/>
      <c r="BG532" s="213"/>
      <c r="BH532" s="213"/>
      <c r="BI532" s="213"/>
      <c r="BJ532" s="213"/>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row>
    <row r="533" spans="1:243" ht="15.6">
      <c r="A533" s="170">
        <f>A532+1</f>
        <v>119</v>
      </c>
      <c r="B533" s="327">
        <f t="shared" si="120"/>
        <v>315</v>
      </c>
      <c r="C533" s="907">
        <v>0</v>
      </c>
      <c r="D533" s="603">
        <f t="shared" si="121"/>
        <v>0</v>
      </c>
      <c r="E533" s="603">
        <f t="shared" si="121"/>
        <v>0</v>
      </c>
      <c r="F533" s="603">
        <f t="shared" si="121"/>
        <v>0</v>
      </c>
      <c r="G533" s="603">
        <f t="shared" si="121"/>
        <v>0</v>
      </c>
      <c r="H533" s="603">
        <f t="shared" si="121"/>
        <v>0</v>
      </c>
      <c r="I533" s="603">
        <f t="shared" si="121"/>
        <v>0</v>
      </c>
      <c r="J533" s="603">
        <f t="shared" si="121"/>
        <v>0</v>
      </c>
      <c r="K533" s="603">
        <f t="shared" si="121"/>
        <v>0</v>
      </c>
      <c r="L533" s="603">
        <f t="shared" si="121"/>
        <v>0</v>
      </c>
      <c r="M533" s="603">
        <f t="shared" si="121"/>
        <v>0</v>
      </c>
      <c r="N533" s="603">
        <f t="shared" si="121"/>
        <v>0</v>
      </c>
      <c r="O533" s="603">
        <f t="shared" si="121"/>
        <v>0</v>
      </c>
      <c r="P533" s="333">
        <f t="shared" si="122"/>
        <v>0</v>
      </c>
      <c r="S533" s="277"/>
      <c r="T533" s="277"/>
      <c r="U533" s="277"/>
      <c r="V533" s="277"/>
      <c r="W533" s="277"/>
      <c r="X533" s="277"/>
      <c r="Y533" s="277"/>
      <c r="Z533" s="277"/>
      <c r="AA533" s="277"/>
      <c r="AB533" s="277"/>
      <c r="AC533" s="277"/>
      <c r="AD533" s="277"/>
      <c r="AE533" s="277"/>
      <c r="AF533" s="277"/>
      <c r="AG533" s="277"/>
      <c r="AH533" s="277"/>
      <c r="AI533" s="277"/>
      <c r="AJ533" s="216"/>
      <c r="AK533" s="304"/>
      <c r="AL533" s="303"/>
      <c r="AM533" s="216"/>
      <c r="AN533" s="304"/>
      <c r="AO533" s="277"/>
      <c r="AP533" s="303"/>
      <c r="AQ533" s="303"/>
      <c r="AR533" s="304"/>
      <c r="AS533" s="303"/>
      <c r="AT533" s="303"/>
      <c r="AU533" s="303"/>
      <c r="AV533" s="303"/>
      <c r="AW533" s="213"/>
      <c r="AX533" s="213"/>
      <c r="AY533" s="213"/>
      <c r="AZ533" s="213"/>
      <c r="BA533" s="213"/>
      <c r="BB533" s="213"/>
      <c r="BC533" s="213"/>
      <c r="BD533" s="213"/>
      <c r="BE533" s="213"/>
      <c r="BF533" s="213"/>
      <c r="BG533" s="213"/>
      <c r="BH533" s="213"/>
      <c r="BI533" s="213"/>
      <c r="BJ533" s="21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row>
    <row r="534" spans="1:243" ht="15.6">
      <c r="A534" s="170">
        <f>A533+1</f>
        <v>120</v>
      </c>
      <c r="B534" s="327">
        <f t="shared" si="120"/>
        <v>316</v>
      </c>
      <c r="C534" s="907">
        <v>0</v>
      </c>
      <c r="D534" s="603">
        <f t="shared" si="121"/>
        <v>0</v>
      </c>
      <c r="E534" s="603">
        <f t="shared" si="121"/>
        <v>0</v>
      </c>
      <c r="F534" s="603">
        <f t="shared" si="121"/>
        <v>0</v>
      </c>
      <c r="G534" s="603">
        <f t="shared" si="121"/>
        <v>0</v>
      </c>
      <c r="H534" s="603">
        <f t="shared" si="121"/>
        <v>0</v>
      </c>
      <c r="I534" s="603">
        <f t="shared" si="121"/>
        <v>0</v>
      </c>
      <c r="J534" s="603">
        <f t="shared" si="121"/>
        <v>0</v>
      </c>
      <c r="K534" s="603">
        <f t="shared" si="121"/>
        <v>0</v>
      </c>
      <c r="L534" s="603">
        <f t="shared" si="121"/>
        <v>0</v>
      </c>
      <c r="M534" s="603">
        <f t="shared" si="121"/>
        <v>0</v>
      </c>
      <c r="N534" s="603">
        <f t="shared" si="121"/>
        <v>0</v>
      </c>
      <c r="O534" s="603">
        <f t="shared" si="121"/>
        <v>0</v>
      </c>
      <c r="P534" s="333">
        <f t="shared" si="122"/>
        <v>0</v>
      </c>
      <c r="S534" s="277"/>
      <c r="T534" s="277"/>
      <c r="U534" s="277"/>
      <c r="V534" s="277"/>
      <c r="W534" s="277"/>
      <c r="X534" s="277"/>
      <c r="Y534" s="277"/>
      <c r="Z534" s="277"/>
      <c r="AA534" s="277"/>
      <c r="AB534" s="277"/>
      <c r="AC534" s="277"/>
      <c r="AD534" s="277"/>
      <c r="AE534" s="277"/>
      <c r="AF534" s="277"/>
      <c r="AG534" s="277"/>
      <c r="AH534" s="277"/>
      <c r="AI534" s="277"/>
      <c r="AJ534" s="216"/>
      <c r="AK534" s="304"/>
      <c r="AL534" s="303"/>
      <c r="AM534" s="216"/>
      <c r="AN534" s="304"/>
      <c r="AO534" s="277"/>
      <c r="AP534" s="303"/>
      <c r="AQ534" s="303"/>
      <c r="AR534" s="304"/>
      <c r="AS534" s="303"/>
      <c r="AT534" s="303"/>
      <c r="AU534" s="303"/>
      <c r="AV534" s="303"/>
      <c r="AW534" s="213"/>
      <c r="AX534" s="213"/>
      <c r="AY534" s="213"/>
      <c r="AZ534" s="213"/>
      <c r="BA534" s="213"/>
      <c r="BB534" s="213"/>
      <c r="BC534" s="213"/>
      <c r="BD534" s="213"/>
      <c r="BE534" s="213"/>
      <c r="BF534" s="213"/>
      <c r="BG534" s="213"/>
      <c r="BH534" s="213"/>
      <c r="BI534" s="213"/>
      <c r="BJ534" s="213"/>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row>
    <row r="535" spans="1:243" ht="15.6">
      <c r="A535" s="170"/>
      <c r="B535" s="327"/>
      <c r="C535" s="328"/>
      <c r="D535" s="328"/>
      <c r="E535" s="328"/>
      <c r="F535" s="328"/>
      <c r="G535" s="328"/>
      <c r="H535" s="328"/>
      <c r="I535" s="328"/>
      <c r="J535" s="328"/>
      <c r="K535" s="328"/>
      <c r="L535" s="328"/>
      <c r="M535" s="328"/>
      <c r="N535" s="328"/>
      <c r="O535" s="328"/>
      <c r="P535" s="333"/>
      <c r="S535" s="277"/>
      <c r="T535" s="277"/>
      <c r="U535" s="277"/>
      <c r="V535" s="277"/>
      <c r="W535" s="277"/>
      <c r="X535" s="277"/>
      <c r="Y535" s="277"/>
      <c r="Z535" s="277"/>
      <c r="AA535" s="277"/>
      <c r="AB535" s="277"/>
      <c r="AC535" s="277"/>
      <c r="AD535" s="277"/>
      <c r="AE535" s="277"/>
      <c r="AF535" s="277"/>
      <c r="AG535" s="277"/>
      <c r="AH535" s="277"/>
      <c r="AI535" s="277"/>
      <c r="AJ535" s="216"/>
      <c r="AK535" s="304"/>
      <c r="AL535" s="303"/>
      <c r="AM535" s="216"/>
      <c r="AN535" s="304"/>
      <c r="AO535" s="277"/>
      <c r="AP535" s="303"/>
      <c r="AQ535" s="303"/>
      <c r="AR535" s="304"/>
      <c r="AS535" s="303"/>
      <c r="AT535" s="303"/>
      <c r="AU535" s="303"/>
      <c r="AV535" s="303"/>
      <c r="AW535" s="213"/>
      <c r="AX535" s="213"/>
      <c r="AY535" s="213"/>
      <c r="AZ535" s="213"/>
      <c r="BA535" s="213"/>
      <c r="BB535" s="213"/>
      <c r="BC535" s="213"/>
      <c r="BD535" s="213"/>
      <c r="BE535" s="213"/>
      <c r="BF535" s="213"/>
      <c r="BG535" s="213"/>
      <c r="BH535" s="213"/>
      <c r="BI535" s="213"/>
      <c r="BJ535" s="213"/>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row>
    <row r="536" spans="1:243" ht="15.6">
      <c r="A536" s="170"/>
      <c r="B536" s="327"/>
      <c r="C536" s="328"/>
      <c r="D536" s="328"/>
      <c r="E536" s="328"/>
      <c r="F536" s="328"/>
      <c r="G536" s="328"/>
      <c r="H536" s="328"/>
      <c r="I536" s="328"/>
      <c r="J536" s="328"/>
      <c r="K536" s="328"/>
      <c r="L536" s="328"/>
      <c r="M536" s="328"/>
      <c r="N536" s="328"/>
      <c r="O536" s="328"/>
      <c r="P536" s="333"/>
      <c r="S536" s="277"/>
      <c r="T536" s="277"/>
      <c r="U536" s="277"/>
      <c r="V536" s="277"/>
      <c r="W536" s="277"/>
      <c r="X536" s="277"/>
      <c r="Y536" s="277"/>
      <c r="Z536" s="277"/>
      <c r="AA536" s="277"/>
      <c r="AB536" s="277"/>
      <c r="AC536" s="277"/>
      <c r="AD536" s="277"/>
      <c r="AE536" s="277"/>
      <c r="AF536" s="277"/>
      <c r="AG536" s="277"/>
      <c r="AH536" s="277"/>
      <c r="AI536" s="277"/>
      <c r="AJ536" s="216"/>
      <c r="AK536" s="304"/>
      <c r="AL536" s="303"/>
      <c r="AM536" s="216"/>
      <c r="AN536" s="304"/>
      <c r="AO536" s="277"/>
      <c r="AP536" s="303"/>
      <c r="AQ536" s="303"/>
      <c r="AR536" s="304"/>
      <c r="AS536" s="303"/>
      <c r="AT536" s="303"/>
      <c r="AU536" s="303"/>
      <c r="AV536" s="303"/>
      <c r="AW536" s="213"/>
      <c r="AX536" s="213"/>
      <c r="AY536" s="213"/>
      <c r="AZ536" s="213"/>
      <c r="BA536" s="213"/>
      <c r="BB536" s="213"/>
      <c r="BC536" s="213"/>
      <c r="BD536" s="213"/>
      <c r="BE536" s="213"/>
      <c r="BF536" s="213"/>
      <c r="BG536" s="213"/>
      <c r="BH536" s="213"/>
      <c r="BI536" s="213"/>
      <c r="BJ536" s="213"/>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row>
    <row r="537" spans="1:243" s="42" customFormat="1" ht="15.6">
      <c r="A537" s="336" t="s">
        <v>713</v>
      </c>
      <c r="B537" s="336"/>
      <c r="C537" s="341" t="s">
        <v>476</v>
      </c>
      <c r="D537" s="287"/>
      <c r="E537" s="287"/>
      <c r="F537" s="287"/>
      <c r="G537" s="287"/>
      <c r="H537" s="287"/>
      <c r="I537" s="287"/>
      <c r="J537" s="287"/>
      <c r="K537" s="334"/>
      <c r="L537" s="287"/>
      <c r="M537" s="287"/>
      <c r="N537" s="287"/>
      <c r="O537" s="287"/>
      <c r="P537" s="339"/>
      <c r="Q537" s="342"/>
      <c r="R537" s="342"/>
      <c r="S537" s="343"/>
      <c r="T537" s="343"/>
      <c r="U537" s="343"/>
      <c r="V537" s="343"/>
      <c r="W537" s="343"/>
      <c r="X537" s="343"/>
      <c r="Y537" s="343"/>
      <c r="Z537" s="343"/>
      <c r="AA537" s="343"/>
      <c r="AB537" s="343"/>
      <c r="AC537" s="343"/>
      <c r="AD537" s="343"/>
      <c r="AE537" s="343"/>
      <c r="AF537" s="343"/>
      <c r="AG537" s="343"/>
      <c r="AH537" s="343"/>
      <c r="AI537" s="343"/>
      <c r="AJ537" s="344"/>
      <c r="AK537" s="345"/>
      <c r="AL537" s="346"/>
      <c r="AM537" s="344"/>
      <c r="AN537" s="345"/>
      <c r="AO537" s="343"/>
      <c r="AP537" s="346"/>
      <c r="AQ537" s="346"/>
      <c r="AR537" s="345"/>
      <c r="AS537" s="346"/>
      <c r="AT537" s="346"/>
      <c r="AU537" s="346"/>
      <c r="AV537" s="346"/>
      <c r="AW537" s="287"/>
      <c r="AX537" s="287"/>
      <c r="AY537" s="287"/>
      <c r="AZ537" s="287"/>
      <c r="BA537" s="287"/>
      <c r="BB537" s="287"/>
      <c r="BC537" s="287"/>
      <c r="BD537" s="287"/>
      <c r="BE537" s="287"/>
      <c r="BF537" s="287"/>
      <c r="BG537" s="287"/>
      <c r="BH537" s="287"/>
      <c r="BI537" s="287"/>
      <c r="BJ537" s="287"/>
    </row>
    <row r="538" spans="1:243" ht="15.6">
      <c r="A538" s="355"/>
      <c r="B538" s="336"/>
      <c r="C538" s="287"/>
      <c r="D538" s="287"/>
      <c r="E538" s="287"/>
      <c r="F538" s="287"/>
      <c r="G538" s="287"/>
      <c r="H538" s="287"/>
      <c r="I538" s="287"/>
      <c r="J538" s="287"/>
      <c r="K538" s="334"/>
      <c r="L538" s="287"/>
      <c r="M538" s="287"/>
      <c r="N538" s="287"/>
      <c r="O538" s="287"/>
      <c r="P538" s="339"/>
      <c r="S538" s="277"/>
      <c r="T538" s="277"/>
      <c r="U538" s="277"/>
      <c r="V538" s="277"/>
      <c r="W538" s="277"/>
      <c r="X538" s="277"/>
      <c r="Y538" s="277"/>
      <c r="Z538" s="277"/>
      <c r="AA538" s="277"/>
      <c r="AB538" s="277"/>
      <c r="AC538" s="277"/>
      <c r="AD538" s="277"/>
      <c r="AE538" s="277"/>
      <c r="AF538" s="277"/>
      <c r="AG538" s="277"/>
      <c r="AH538" s="277"/>
      <c r="AI538" s="277"/>
      <c r="AJ538" s="216"/>
      <c r="AK538" s="304"/>
      <c r="AL538" s="303"/>
      <c r="AM538" s="216"/>
      <c r="AN538" s="304"/>
      <c r="AO538" s="277"/>
      <c r="AP538" s="303"/>
      <c r="AQ538" s="303"/>
      <c r="AR538" s="304"/>
      <c r="AS538" s="303"/>
      <c r="AT538" s="303"/>
      <c r="AU538" s="303"/>
      <c r="AV538" s="303"/>
      <c r="AW538" s="213"/>
      <c r="AX538" s="213"/>
      <c r="AY538" s="213"/>
      <c r="AZ538" s="213"/>
      <c r="BA538" s="213"/>
      <c r="BB538" s="213"/>
      <c r="BC538" s="213"/>
      <c r="BD538" s="213"/>
      <c r="BE538" s="213"/>
      <c r="BF538" s="213"/>
      <c r="BG538" s="213"/>
      <c r="BH538" s="213"/>
      <c r="BI538" s="213"/>
      <c r="BJ538" s="213"/>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row>
    <row r="539" spans="1:243" ht="18.600000000000001">
      <c r="A539" s="355" t="s">
        <v>494</v>
      </c>
      <c r="B539" s="355" t="s">
        <v>1078</v>
      </c>
      <c r="C539" s="334"/>
      <c r="D539" s="1778" t="s">
        <v>714</v>
      </c>
      <c r="E539" s="1779"/>
      <c r="F539" s="1779"/>
      <c r="G539" s="1779"/>
      <c r="H539" s="1779"/>
      <c r="I539" s="1779"/>
      <c r="J539" s="1779"/>
      <c r="K539" s="1779"/>
      <c r="L539" s="1779"/>
      <c r="M539" s="1779"/>
      <c r="N539" s="1779"/>
      <c r="O539" s="1779"/>
      <c r="P539" s="357"/>
      <c r="S539" s="277"/>
      <c r="T539" s="277"/>
      <c r="U539" s="277"/>
      <c r="V539" s="277"/>
      <c r="W539" s="277"/>
      <c r="X539" s="277"/>
      <c r="Y539" s="277"/>
      <c r="Z539" s="277"/>
      <c r="AA539" s="277"/>
      <c r="AB539" s="277"/>
      <c r="AC539" s="277"/>
      <c r="AD539" s="277"/>
      <c r="AE539" s="277"/>
      <c r="AF539" s="277"/>
      <c r="AG539" s="277"/>
      <c r="AH539" s="277"/>
      <c r="AI539" s="277"/>
      <c r="AJ539" s="216"/>
      <c r="AK539" s="304"/>
      <c r="AL539" s="303"/>
      <c r="AM539" s="216"/>
      <c r="AN539" s="304"/>
      <c r="AO539" s="277"/>
      <c r="AP539" s="303"/>
      <c r="AQ539" s="303"/>
      <c r="AR539" s="304"/>
      <c r="AS539" s="303"/>
      <c r="AT539" s="303"/>
      <c r="AU539" s="303"/>
      <c r="AV539" s="303"/>
      <c r="AW539" s="213"/>
      <c r="AX539" s="213"/>
      <c r="AY539" s="213"/>
      <c r="AZ539" s="213"/>
      <c r="BA539" s="213"/>
      <c r="BB539" s="213"/>
      <c r="BC539" s="213"/>
      <c r="BD539" s="213"/>
      <c r="BE539" s="213"/>
      <c r="BF539" s="213"/>
      <c r="BG539" s="213"/>
      <c r="BH539" s="213"/>
      <c r="BI539" s="213"/>
      <c r="BJ539" s="213"/>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row>
    <row r="540" spans="1:243" ht="15.6">
      <c r="A540" s="322" t="s">
        <v>928</v>
      </c>
      <c r="B540" s="322" t="s">
        <v>928</v>
      </c>
      <c r="C540" s="335"/>
      <c r="D540" s="358" t="s">
        <v>715</v>
      </c>
      <c r="E540" s="358" t="s">
        <v>716</v>
      </c>
      <c r="F540" s="358" t="s">
        <v>717</v>
      </c>
      <c r="G540" s="358" t="s">
        <v>718</v>
      </c>
      <c r="H540" s="358" t="s">
        <v>719</v>
      </c>
      <c r="I540" s="358" t="s">
        <v>720</v>
      </c>
      <c r="J540" s="358" t="s">
        <v>721</v>
      </c>
      <c r="K540" s="358" t="s">
        <v>722</v>
      </c>
      <c r="L540" s="358" t="s">
        <v>723</v>
      </c>
      <c r="M540" s="358" t="s">
        <v>724</v>
      </c>
      <c r="N540" s="358" t="s">
        <v>725</v>
      </c>
      <c r="O540" s="358" t="s">
        <v>726</v>
      </c>
      <c r="P540" s="359"/>
      <c r="S540" s="277"/>
      <c r="T540" s="277"/>
      <c r="U540" s="277"/>
      <c r="V540" s="277"/>
      <c r="W540" s="277"/>
      <c r="X540" s="277"/>
      <c r="Y540" s="277"/>
      <c r="Z540" s="277"/>
      <c r="AA540" s="277"/>
      <c r="AB540" s="277"/>
      <c r="AC540" s="277"/>
      <c r="AD540" s="277"/>
      <c r="AE540" s="277"/>
      <c r="AF540" s="277"/>
      <c r="AG540" s="277"/>
      <c r="AH540" s="277"/>
      <c r="AI540" s="277"/>
      <c r="AJ540" s="216"/>
      <c r="AK540" s="304"/>
      <c r="AL540" s="303"/>
      <c r="AM540" s="216"/>
      <c r="AN540" s="304"/>
      <c r="AO540" s="277"/>
      <c r="AP540" s="303"/>
      <c r="AQ540" s="303"/>
      <c r="AR540" s="304"/>
      <c r="AS540" s="303"/>
      <c r="AT540" s="303"/>
      <c r="AU540" s="303"/>
      <c r="AV540" s="303"/>
      <c r="AW540" s="213"/>
      <c r="AX540" s="213"/>
      <c r="AY540" s="213"/>
      <c r="AZ540" s="213"/>
      <c r="BA540" s="213"/>
      <c r="BB540" s="213"/>
      <c r="BC540" s="213"/>
      <c r="BD540" s="213"/>
      <c r="BE540" s="213"/>
      <c r="BF540" s="213"/>
      <c r="BG540" s="213"/>
      <c r="BH540" s="213"/>
      <c r="BI540" s="213"/>
      <c r="BJ540" s="213"/>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row>
    <row r="541" spans="1:243" ht="15.6">
      <c r="A541" s="170">
        <f>A534+1</f>
        <v>121</v>
      </c>
      <c r="B541" s="327">
        <v>311</v>
      </c>
      <c r="C541" s="287"/>
      <c r="D541" s="905">
        <v>0</v>
      </c>
      <c r="E541" s="905">
        <v>0</v>
      </c>
      <c r="F541" s="905">
        <v>0</v>
      </c>
      <c r="G541" s="905">
        <v>0</v>
      </c>
      <c r="H541" s="905">
        <v>0</v>
      </c>
      <c r="I541" s="905">
        <v>0</v>
      </c>
      <c r="J541" s="905">
        <v>0</v>
      </c>
      <c r="K541" s="905">
        <v>0</v>
      </c>
      <c r="L541" s="905">
        <v>0</v>
      </c>
      <c r="M541" s="905">
        <v>0</v>
      </c>
      <c r="N541" s="905">
        <v>0</v>
      </c>
      <c r="O541" s="905">
        <v>0</v>
      </c>
      <c r="P541" s="339"/>
      <c r="S541" s="277"/>
      <c r="T541" s="277"/>
      <c r="U541" s="277"/>
      <c r="V541" s="277"/>
      <c r="W541" s="277"/>
      <c r="X541" s="277"/>
      <c r="Y541" s="277"/>
      <c r="Z541" s="277"/>
      <c r="AA541" s="277"/>
      <c r="AB541" s="277"/>
      <c r="AC541" s="277"/>
      <c r="AD541" s="277"/>
      <c r="AE541" s="277"/>
      <c r="AF541" s="277"/>
      <c r="AG541" s="277"/>
      <c r="AH541" s="277"/>
      <c r="AI541" s="277"/>
      <c r="AJ541" s="216"/>
      <c r="AK541" s="304"/>
      <c r="AL541" s="303"/>
      <c r="AM541" s="216"/>
      <c r="AN541" s="304"/>
      <c r="AO541" s="277"/>
      <c r="AP541" s="303"/>
      <c r="AQ541" s="303"/>
      <c r="AR541" s="304"/>
      <c r="AS541" s="303"/>
      <c r="AT541" s="303"/>
      <c r="AU541" s="303"/>
      <c r="AV541" s="303"/>
      <c r="AW541" s="213"/>
      <c r="AX541" s="213"/>
      <c r="AY541" s="213"/>
      <c r="AZ541" s="213"/>
      <c r="BA541" s="213"/>
      <c r="BB541" s="213"/>
      <c r="BC541" s="213"/>
      <c r="BD541" s="213"/>
      <c r="BE541" s="213"/>
      <c r="BF541" s="213"/>
      <c r="BG541" s="213"/>
      <c r="BH541" s="213"/>
      <c r="BI541" s="213"/>
      <c r="BJ541" s="213"/>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row>
    <row r="542" spans="1:243" ht="15.6">
      <c r="A542" s="170">
        <f>A541+1</f>
        <v>122</v>
      </c>
      <c r="B542" s="327">
        <v>312</v>
      </c>
      <c r="C542" s="287"/>
      <c r="D542" s="907">
        <v>0</v>
      </c>
      <c r="E542" s="907">
        <v>0</v>
      </c>
      <c r="F542" s="907">
        <v>0</v>
      </c>
      <c r="G542" s="907">
        <v>0</v>
      </c>
      <c r="H542" s="907">
        <v>0</v>
      </c>
      <c r="I542" s="907">
        <v>0</v>
      </c>
      <c r="J542" s="907">
        <v>0</v>
      </c>
      <c r="K542" s="907">
        <v>0</v>
      </c>
      <c r="L542" s="907">
        <v>0</v>
      </c>
      <c r="M542" s="907">
        <v>0</v>
      </c>
      <c r="N542" s="907">
        <v>0</v>
      </c>
      <c r="O542" s="907">
        <v>0</v>
      </c>
      <c r="P542" s="339"/>
      <c r="S542" s="277"/>
      <c r="T542" s="277"/>
      <c r="U542" s="277"/>
      <c r="V542" s="277"/>
      <c r="W542" s="277"/>
      <c r="X542" s="277"/>
      <c r="Y542" s="277"/>
      <c r="Z542" s="277"/>
      <c r="AA542" s="277"/>
      <c r="AB542" s="277"/>
      <c r="AC542" s="277"/>
      <c r="AD542" s="277"/>
      <c r="AE542" s="277"/>
      <c r="AF542" s="277"/>
      <c r="AG542" s="277"/>
      <c r="AH542" s="277"/>
      <c r="AI542" s="277"/>
      <c r="AJ542" s="216"/>
      <c r="AK542" s="304"/>
      <c r="AL542" s="303"/>
      <c r="AM542" s="216"/>
      <c r="AN542" s="304"/>
      <c r="AO542" s="277"/>
      <c r="AP542" s="303"/>
      <c r="AQ542" s="303"/>
      <c r="AR542" s="304"/>
      <c r="AS542" s="303"/>
      <c r="AT542" s="303"/>
      <c r="AU542" s="303"/>
      <c r="AV542" s="303"/>
      <c r="AW542" s="213"/>
      <c r="AX542" s="213"/>
      <c r="AY542" s="213"/>
      <c r="AZ542" s="213"/>
      <c r="BA542" s="213"/>
      <c r="BB542" s="213"/>
      <c r="BC542" s="213"/>
      <c r="BD542" s="213"/>
      <c r="BE542" s="213"/>
      <c r="BF542" s="213"/>
      <c r="BG542" s="213"/>
      <c r="BH542" s="213"/>
      <c r="BI542" s="213"/>
      <c r="BJ542" s="213"/>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row>
    <row r="543" spans="1:243" ht="15.6">
      <c r="A543" s="170">
        <f>A542+1</f>
        <v>123</v>
      </c>
      <c r="B543" s="327">
        <v>312.10000000000002</v>
      </c>
      <c r="C543" s="287"/>
      <c r="D543" s="907">
        <v>0</v>
      </c>
      <c r="E543" s="907">
        <v>0</v>
      </c>
      <c r="F543" s="907">
        <v>0</v>
      </c>
      <c r="G543" s="907">
        <v>0</v>
      </c>
      <c r="H543" s="907">
        <v>0</v>
      </c>
      <c r="I543" s="907">
        <v>0</v>
      </c>
      <c r="J543" s="907">
        <v>0</v>
      </c>
      <c r="K543" s="907">
        <v>0</v>
      </c>
      <c r="L543" s="907">
        <v>0</v>
      </c>
      <c r="M543" s="907">
        <v>0</v>
      </c>
      <c r="N543" s="907">
        <v>0</v>
      </c>
      <c r="O543" s="907">
        <v>0</v>
      </c>
      <c r="P543" s="339"/>
      <c r="S543" s="277"/>
      <c r="T543" s="277"/>
      <c r="U543" s="277"/>
      <c r="V543" s="277"/>
      <c r="W543" s="277"/>
      <c r="X543" s="277"/>
      <c r="Y543" s="277"/>
      <c r="Z543" s="277"/>
      <c r="AA543" s="277"/>
      <c r="AB543" s="277"/>
      <c r="AC543" s="277"/>
      <c r="AD543" s="277"/>
      <c r="AE543" s="277"/>
      <c r="AF543" s="277"/>
      <c r="AG543" s="277"/>
      <c r="AH543" s="277"/>
      <c r="AI543" s="277"/>
      <c r="AJ543" s="216"/>
      <c r="AK543" s="304"/>
      <c r="AL543" s="303"/>
      <c r="AM543" s="216"/>
      <c r="AN543" s="304"/>
      <c r="AO543" s="277"/>
      <c r="AP543" s="303"/>
      <c r="AQ543" s="303"/>
      <c r="AR543" s="304"/>
      <c r="AS543" s="303"/>
      <c r="AT543" s="303"/>
      <c r="AU543" s="303"/>
      <c r="AV543" s="303"/>
      <c r="AW543" s="213"/>
      <c r="AX543" s="213"/>
      <c r="AY543" s="213"/>
      <c r="AZ543" s="213"/>
      <c r="BA543" s="213"/>
      <c r="BB543" s="213"/>
      <c r="BC543" s="213"/>
      <c r="BD543" s="213"/>
      <c r="BE543" s="213"/>
      <c r="BF543" s="213"/>
      <c r="BG543" s="213"/>
      <c r="BH543" s="213"/>
      <c r="BI543" s="213"/>
      <c r="BJ543" s="21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row>
    <row r="544" spans="1:243" ht="15.6">
      <c r="A544" s="170">
        <f>A543+1</f>
        <v>124</v>
      </c>
      <c r="B544" s="327">
        <v>314</v>
      </c>
      <c r="C544" s="287"/>
      <c r="D544" s="907">
        <v>0</v>
      </c>
      <c r="E544" s="907">
        <v>0</v>
      </c>
      <c r="F544" s="907">
        <v>0</v>
      </c>
      <c r="G544" s="907">
        <v>0</v>
      </c>
      <c r="H544" s="907">
        <v>0</v>
      </c>
      <c r="I544" s="907">
        <v>0</v>
      </c>
      <c r="J544" s="907">
        <v>0</v>
      </c>
      <c r="K544" s="907">
        <v>0</v>
      </c>
      <c r="L544" s="907">
        <v>0</v>
      </c>
      <c r="M544" s="907">
        <v>0</v>
      </c>
      <c r="N544" s="907">
        <v>0</v>
      </c>
      <c r="O544" s="907">
        <v>0</v>
      </c>
      <c r="P544" s="339"/>
      <c r="S544" s="277"/>
      <c r="T544" s="277"/>
      <c r="U544" s="277"/>
      <c r="V544" s="277"/>
      <c r="W544" s="277"/>
      <c r="X544" s="277"/>
      <c r="Y544" s="277"/>
      <c r="Z544" s="277"/>
      <c r="AA544" s="277"/>
      <c r="AB544" s="277"/>
      <c r="AC544" s="277"/>
      <c r="AD544" s="277"/>
      <c r="AE544" s="277"/>
      <c r="AF544" s="277"/>
      <c r="AG544" s="277"/>
      <c r="AH544" s="277"/>
      <c r="AI544" s="277"/>
      <c r="AJ544" s="216"/>
      <c r="AK544" s="304"/>
      <c r="AL544" s="303"/>
      <c r="AM544" s="216"/>
      <c r="AN544" s="304"/>
      <c r="AO544" s="277"/>
      <c r="AP544" s="303"/>
      <c r="AQ544" s="303"/>
      <c r="AR544" s="304"/>
      <c r="AS544" s="303"/>
      <c r="AT544" s="303"/>
      <c r="AU544" s="303"/>
      <c r="AV544" s="303"/>
      <c r="AW544" s="213"/>
      <c r="AX544" s="213"/>
      <c r="AY544" s="213"/>
      <c r="AZ544" s="213"/>
      <c r="BA544" s="213"/>
      <c r="BB544" s="213"/>
      <c r="BC544" s="213"/>
      <c r="BD544" s="213"/>
      <c r="BE544" s="213"/>
      <c r="BF544" s="213"/>
      <c r="BG544" s="213"/>
      <c r="BH544" s="213"/>
      <c r="BI544" s="213"/>
      <c r="BJ544" s="213"/>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row>
    <row r="545" spans="1:243" ht="15.6">
      <c r="A545" s="170">
        <f>A544+1</f>
        <v>125</v>
      </c>
      <c r="B545" s="327">
        <v>315</v>
      </c>
      <c r="C545" s="287"/>
      <c r="D545" s="907">
        <v>0</v>
      </c>
      <c r="E545" s="907">
        <v>0</v>
      </c>
      <c r="F545" s="907">
        <v>0</v>
      </c>
      <c r="G545" s="907">
        <v>0</v>
      </c>
      <c r="H545" s="907">
        <v>0</v>
      </c>
      <c r="I545" s="907">
        <v>0</v>
      </c>
      <c r="J545" s="907">
        <v>0</v>
      </c>
      <c r="K545" s="907">
        <v>0</v>
      </c>
      <c r="L545" s="907">
        <v>0</v>
      </c>
      <c r="M545" s="907">
        <v>0</v>
      </c>
      <c r="N545" s="907">
        <v>0</v>
      </c>
      <c r="O545" s="907">
        <v>0</v>
      </c>
      <c r="P545" s="339"/>
      <c r="S545" s="277"/>
      <c r="T545" s="277"/>
      <c r="U545" s="277"/>
      <c r="V545" s="277"/>
      <c r="W545" s="277"/>
      <c r="X545" s="277"/>
      <c r="Y545" s="277"/>
      <c r="Z545" s="277"/>
      <c r="AA545" s="277"/>
      <c r="AB545" s="277"/>
      <c r="AC545" s="277"/>
      <c r="AD545" s="277"/>
      <c r="AE545" s="277"/>
      <c r="AF545" s="277"/>
      <c r="AG545" s="277"/>
      <c r="AH545" s="277"/>
      <c r="AI545" s="277"/>
      <c r="AJ545" s="216"/>
      <c r="AK545" s="304"/>
      <c r="AL545" s="303"/>
      <c r="AM545" s="216"/>
      <c r="AN545" s="304"/>
      <c r="AO545" s="277"/>
      <c r="AP545" s="303"/>
      <c r="AQ545" s="303"/>
      <c r="AR545" s="304"/>
      <c r="AS545" s="303"/>
      <c r="AT545" s="303"/>
      <c r="AU545" s="303"/>
      <c r="AV545" s="303"/>
      <c r="AW545" s="213"/>
      <c r="AX545" s="213"/>
      <c r="AY545" s="213"/>
      <c r="AZ545" s="213"/>
      <c r="BA545" s="213"/>
      <c r="BB545" s="213"/>
      <c r="BC545" s="213"/>
      <c r="BD545" s="213"/>
      <c r="BE545" s="213"/>
      <c r="BF545" s="213"/>
      <c r="BG545" s="213"/>
      <c r="BH545" s="213"/>
      <c r="BI545" s="213"/>
      <c r="BJ545" s="213"/>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row>
    <row r="546" spans="1:243" ht="15.6">
      <c r="A546" s="170">
        <f>A545+1</f>
        <v>126</v>
      </c>
      <c r="B546" s="327">
        <v>316</v>
      </c>
      <c r="C546" s="287"/>
      <c r="D546" s="907">
        <v>0</v>
      </c>
      <c r="E546" s="907">
        <v>0</v>
      </c>
      <c r="F546" s="907">
        <v>0</v>
      </c>
      <c r="G546" s="907">
        <v>0</v>
      </c>
      <c r="H546" s="907">
        <v>0</v>
      </c>
      <c r="I546" s="907">
        <v>0</v>
      </c>
      <c r="J546" s="907">
        <v>0</v>
      </c>
      <c r="K546" s="907">
        <v>0</v>
      </c>
      <c r="L546" s="907">
        <v>0</v>
      </c>
      <c r="M546" s="907">
        <v>0</v>
      </c>
      <c r="N546" s="907">
        <v>0</v>
      </c>
      <c r="O546" s="907">
        <v>0</v>
      </c>
      <c r="P546" s="339"/>
      <c r="S546" s="277"/>
      <c r="T546" s="277"/>
      <c r="U546" s="277"/>
      <c r="V546" s="277"/>
      <c r="W546" s="277"/>
      <c r="X546" s="277"/>
      <c r="Y546" s="277"/>
      <c r="Z546" s="277"/>
      <c r="AA546" s="277"/>
      <c r="AB546" s="277"/>
      <c r="AC546" s="277"/>
      <c r="AD546" s="277"/>
      <c r="AE546" s="277"/>
      <c r="AF546" s="277"/>
      <c r="AG546" s="277"/>
      <c r="AH546" s="277"/>
      <c r="AI546" s="277"/>
      <c r="AJ546" s="216"/>
      <c r="AK546" s="304"/>
      <c r="AL546" s="303"/>
      <c r="AM546" s="216"/>
      <c r="AN546" s="304"/>
      <c r="AO546" s="277"/>
      <c r="AP546" s="303"/>
      <c r="AQ546" s="303"/>
      <c r="AR546" s="304"/>
      <c r="AS546" s="303"/>
      <c r="AT546" s="303"/>
      <c r="AU546" s="303"/>
      <c r="AV546" s="303"/>
      <c r="AW546" s="213"/>
      <c r="AX546" s="213"/>
      <c r="AY546" s="213"/>
      <c r="AZ546" s="213"/>
      <c r="BA546" s="213"/>
      <c r="BB546" s="213"/>
      <c r="BC546" s="213"/>
      <c r="BD546" s="213"/>
      <c r="BE546" s="213"/>
      <c r="BF546" s="213"/>
      <c r="BG546" s="213"/>
      <c r="BH546" s="213"/>
      <c r="BI546" s="213"/>
      <c r="BJ546" s="213"/>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row>
    <row r="547" spans="1:243" ht="15.6">
      <c r="A547" s="170"/>
      <c r="B547" s="336"/>
      <c r="C547" s="287"/>
      <c r="D547" s="287"/>
      <c r="E547" s="287"/>
      <c r="F547" s="287"/>
      <c r="G547" s="287"/>
      <c r="H547" s="287"/>
      <c r="I547" s="287"/>
      <c r="J547" s="287"/>
      <c r="K547" s="334"/>
      <c r="L547" s="287"/>
      <c r="M547" s="287"/>
      <c r="N547" s="287"/>
      <c r="O547" s="287"/>
      <c r="P547" s="339"/>
      <c r="S547" s="277"/>
      <c r="T547" s="277"/>
      <c r="U547" s="277"/>
      <c r="V547" s="277"/>
      <c r="W547" s="277"/>
      <c r="X547" s="277"/>
      <c r="Y547" s="277"/>
      <c r="Z547" s="277"/>
      <c r="AA547" s="277"/>
      <c r="AB547" s="277"/>
      <c r="AC547" s="277"/>
      <c r="AD547" s="277"/>
      <c r="AE547" s="277"/>
      <c r="AF547" s="277"/>
      <c r="AG547" s="277"/>
      <c r="AH547" s="277"/>
      <c r="AI547" s="277"/>
      <c r="AJ547" s="216"/>
      <c r="AK547" s="304"/>
      <c r="AL547" s="303"/>
      <c r="AM547" s="216"/>
      <c r="AN547" s="304"/>
      <c r="AO547" s="277"/>
      <c r="AP547" s="303"/>
      <c r="AQ547" s="303"/>
      <c r="AR547" s="304"/>
      <c r="AS547" s="303"/>
      <c r="AT547" s="303"/>
      <c r="AU547" s="303"/>
      <c r="AV547" s="303"/>
      <c r="AW547" s="213"/>
      <c r="AX547" s="213"/>
      <c r="AY547" s="213"/>
      <c r="AZ547" s="213"/>
      <c r="BA547" s="213"/>
      <c r="BB547" s="213"/>
      <c r="BC547" s="213"/>
      <c r="BD547" s="213"/>
      <c r="BE547" s="213"/>
      <c r="BF547" s="213"/>
      <c r="BG547" s="213"/>
      <c r="BH547" s="213"/>
      <c r="BI547" s="213"/>
      <c r="BJ547" s="213"/>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row>
    <row r="548" spans="1:243" ht="18.600000000000001">
      <c r="A548" s="355"/>
      <c r="B548" s="355" t="s">
        <v>1078</v>
      </c>
      <c r="C548" s="334" t="s">
        <v>727</v>
      </c>
      <c r="D548" s="1778" t="s">
        <v>728</v>
      </c>
      <c r="E548" s="1779"/>
      <c r="F548" s="1779"/>
      <c r="G548" s="1779"/>
      <c r="H548" s="1779"/>
      <c r="I548" s="1779"/>
      <c r="J548" s="1779"/>
      <c r="K548" s="1779"/>
      <c r="L548" s="1779"/>
      <c r="M548" s="1779"/>
      <c r="N548" s="1779"/>
      <c r="O548" s="1779"/>
      <c r="P548" s="1779"/>
      <c r="S548" s="277"/>
      <c r="T548" s="277"/>
      <c r="U548" s="277"/>
      <c r="V548" s="277"/>
      <c r="W548" s="277"/>
      <c r="X548" s="277"/>
      <c r="Y548" s="277"/>
      <c r="Z548" s="277"/>
      <c r="AA548" s="277"/>
      <c r="AB548" s="277"/>
      <c r="AC548" s="277"/>
      <c r="AD548" s="277"/>
      <c r="AE548" s="277"/>
      <c r="AF548" s="277"/>
      <c r="AG548" s="277"/>
      <c r="AH548" s="277"/>
      <c r="AI548" s="277"/>
      <c r="AJ548" s="216"/>
      <c r="AK548" s="304"/>
      <c r="AL548" s="303"/>
      <c r="AM548" s="216"/>
      <c r="AN548" s="304"/>
      <c r="AO548" s="277"/>
      <c r="AP548" s="303"/>
      <c r="AQ548" s="303"/>
      <c r="AR548" s="304"/>
      <c r="AS548" s="303"/>
      <c r="AT548" s="303"/>
      <c r="AU548" s="303"/>
      <c r="AV548" s="303"/>
      <c r="AW548" s="213"/>
      <c r="AX548" s="213"/>
      <c r="AY548" s="213"/>
      <c r="AZ548" s="213"/>
      <c r="BA548" s="213"/>
      <c r="BB548" s="213"/>
      <c r="BC548" s="213"/>
      <c r="BD548" s="213"/>
      <c r="BE548" s="213"/>
      <c r="BF548" s="213"/>
      <c r="BG548" s="213"/>
      <c r="BH548" s="213"/>
      <c r="BI548" s="213"/>
      <c r="BJ548" s="213"/>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row>
    <row r="549" spans="1:243" ht="18.600000000000001">
      <c r="A549" s="322"/>
      <c r="B549" s="322" t="s">
        <v>928</v>
      </c>
      <c r="C549" s="335" t="s">
        <v>729</v>
      </c>
      <c r="D549" s="358" t="s">
        <v>716</v>
      </c>
      <c r="E549" s="358" t="s">
        <v>717</v>
      </c>
      <c r="F549" s="358" t="s">
        <v>718</v>
      </c>
      <c r="G549" s="358" t="s">
        <v>719</v>
      </c>
      <c r="H549" s="358" t="s">
        <v>720</v>
      </c>
      <c r="I549" s="358" t="s">
        <v>721</v>
      </c>
      <c r="J549" s="358" t="s">
        <v>722</v>
      </c>
      <c r="K549" s="358" t="s">
        <v>723</v>
      </c>
      <c r="L549" s="358" t="s">
        <v>724</v>
      </c>
      <c r="M549" s="358" t="s">
        <v>725</v>
      </c>
      <c r="N549" s="358" t="s">
        <v>726</v>
      </c>
      <c r="O549" s="358" t="s">
        <v>715</v>
      </c>
      <c r="P549" s="360" t="s">
        <v>468</v>
      </c>
      <c r="S549" s="277"/>
      <c r="T549" s="277"/>
      <c r="U549" s="277"/>
      <c r="V549" s="277"/>
      <c r="W549" s="277"/>
      <c r="X549" s="277"/>
      <c r="Y549" s="277"/>
      <c r="Z549" s="277"/>
      <c r="AA549" s="277"/>
      <c r="AB549" s="277"/>
      <c r="AC549" s="277"/>
      <c r="AD549" s="277"/>
      <c r="AE549" s="277"/>
      <c r="AF549" s="277"/>
      <c r="AG549" s="277"/>
      <c r="AH549" s="277"/>
      <c r="AI549" s="277"/>
      <c r="AJ549" s="216"/>
      <c r="AK549" s="304"/>
      <c r="AL549" s="303"/>
      <c r="AM549" s="216"/>
      <c r="AN549" s="304"/>
      <c r="AO549" s="277"/>
      <c r="AP549" s="303"/>
      <c r="AQ549" s="303"/>
      <c r="AR549" s="304"/>
      <c r="AS549" s="303"/>
      <c r="AT549" s="303"/>
      <c r="AU549" s="303"/>
      <c r="AV549" s="303"/>
      <c r="AW549" s="213"/>
      <c r="AX549" s="213"/>
      <c r="AY549" s="213"/>
      <c r="AZ549" s="213"/>
      <c r="BA549" s="213"/>
      <c r="BB549" s="213"/>
      <c r="BC549" s="213"/>
      <c r="BD549" s="213"/>
      <c r="BE549" s="213"/>
      <c r="BF549" s="213"/>
      <c r="BG549" s="213"/>
      <c r="BH549" s="213"/>
      <c r="BI549" s="213"/>
      <c r="BJ549" s="213"/>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row>
    <row r="550" spans="1:243" ht="15.6">
      <c r="A550" s="170">
        <f>A546+1</f>
        <v>127</v>
      </c>
      <c r="B550" s="327">
        <f t="shared" ref="B550:B555" si="123">B541</f>
        <v>311</v>
      </c>
      <c r="C550" s="909"/>
      <c r="D550" s="603">
        <f t="shared" ref="D550:O555" si="124">D541*$C550/100/12</f>
        <v>0</v>
      </c>
      <c r="E550" s="603">
        <f t="shared" si="124"/>
        <v>0</v>
      </c>
      <c r="F550" s="603">
        <f t="shared" si="124"/>
        <v>0</v>
      </c>
      <c r="G550" s="603">
        <f t="shared" si="124"/>
        <v>0</v>
      </c>
      <c r="H550" s="603">
        <f t="shared" si="124"/>
        <v>0</v>
      </c>
      <c r="I550" s="603">
        <f t="shared" si="124"/>
        <v>0</v>
      </c>
      <c r="J550" s="603">
        <f t="shared" si="124"/>
        <v>0</v>
      </c>
      <c r="K550" s="603">
        <f t="shared" si="124"/>
        <v>0</v>
      </c>
      <c r="L550" s="603">
        <f t="shared" si="124"/>
        <v>0</v>
      </c>
      <c r="M550" s="603">
        <f t="shared" si="124"/>
        <v>0</v>
      </c>
      <c r="N550" s="603">
        <f t="shared" si="124"/>
        <v>0</v>
      </c>
      <c r="O550" s="603">
        <f t="shared" si="124"/>
        <v>0</v>
      </c>
      <c r="P550" s="333">
        <f t="shared" ref="P550:P555" si="125">SUM(D550:O550)</f>
        <v>0</v>
      </c>
      <c r="S550" s="277"/>
      <c r="T550" s="277"/>
      <c r="U550" s="277"/>
      <c r="V550" s="277"/>
      <c r="W550" s="277"/>
      <c r="X550" s="277"/>
      <c r="Y550" s="277"/>
      <c r="Z550" s="277"/>
      <c r="AA550" s="277"/>
      <c r="AB550" s="277"/>
      <c r="AC550" s="277"/>
      <c r="AD550" s="277"/>
      <c r="AE550" s="277"/>
      <c r="AF550" s="277"/>
      <c r="AG550" s="277"/>
      <c r="AH550" s="277"/>
      <c r="AI550" s="277"/>
      <c r="AJ550" s="216"/>
      <c r="AK550" s="304"/>
      <c r="AL550" s="303"/>
      <c r="AM550" s="216"/>
      <c r="AN550" s="304"/>
      <c r="AO550" s="277"/>
      <c r="AP550" s="303"/>
      <c r="AQ550" s="303"/>
      <c r="AR550" s="304"/>
      <c r="AS550" s="303"/>
      <c r="AT550" s="303"/>
      <c r="AU550" s="303"/>
      <c r="AV550" s="303"/>
      <c r="AW550" s="213"/>
      <c r="AX550" s="213"/>
      <c r="AY550" s="213"/>
      <c r="AZ550" s="213"/>
      <c r="BA550" s="213"/>
      <c r="BB550" s="213"/>
      <c r="BC550" s="213"/>
      <c r="BD550" s="213"/>
      <c r="BE550" s="213"/>
      <c r="BF550" s="213"/>
      <c r="BG550" s="213"/>
      <c r="BH550" s="213"/>
      <c r="BI550" s="213"/>
      <c r="BJ550" s="213"/>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row>
    <row r="551" spans="1:243" ht="15.6">
      <c r="A551" s="170">
        <f>A550+1</f>
        <v>128</v>
      </c>
      <c r="B551" s="327">
        <f t="shared" si="123"/>
        <v>312</v>
      </c>
      <c r="C551" s="909"/>
      <c r="D551" s="603">
        <f t="shared" si="124"/>
        <v>0</v>
      </c>
      <c r="E551" s="603">
        <f t="shared" si="124"/>
        <v>0</v>
      </c>
      <c r="F551" s="603">
        <f t="shared" si="124"/>
        <v>0</v>
      </c>
      <c r="G551" s="603">
        <f t="shared" si="124"/>
        <v>0</v>
      </c>
      <c r="H551" s="603">
        <f t="shared" si="124"/>
        <v>0</v>
      </c>
      <c r="I551" s="603">
        <f t="shared" si="124"/>
        <v>0</v>
      </c>
      <c r="J551" s="603">
        <f t="shared" si="124"/>
        <v>0</v>
      </c>
      <c r="K551" s="603">
        <f t="shared" si="124"/>
        <v>0</v>
      </c>
      <c r="L551" s="603">
        <f t="shared" si="124"/>
        <v>0</v>
      </c>
      <c r="M551" s="603">
        <f t="shared" si="124"/>
        <v>0</v>
      </c>
      <c r="N551" s="603">
        <f t="shared" si="124"/>
        <v>0</v>
      </c>
      <c r="O551" s="603">
        <f t="shared" si="124"/>
        <v>0</v>
      </c>
      <c r="P551" s="333">
        <f t="shared" si="125"/>
        <v>0</v>
      </c>
      <c r="S551" s="277"/>
      <c r="T551" s="277"/>
      <c r="U551" s="277"/>
      <c r="V551" s="277"/>
      <c r="W551" s="277"/>
      <c r="X551" s="277"/>
      <c r="Y551" s="277"/>
      <c r="Z551" s="277"/>
      <c r="AA551" s="277"/>
      <c r="AB551" s="277"/>
      <c r="AC551" s="277"/>
      <c r="AD551" s="277"/>
      <c r="AE551" s="277"/>
      <c r="AF551" s="277"/>
      <c r="AG551" s="277"/>
      <c r="AH551" s="277"/>
      <c r="AI551" s="277"/>
      <c r="AJ551" s="216"/>
      <c r="AK551" s="304"/>
      <c r="AL551" s="303"/>
      <c r="AM551" s="216"/>
      <c r="AN551" s="304"/>
      <c r="AO551" s="277"/>
      <c r="AP551" s="303"/>
      <c r="AQ551" s="303"/>
      <c r="AR551" s="304"/>
      <c r="AS551" s="303"/>
      <c r="AT551" s="303"/>
      <c r="AU551" s="303"/>
      <c r="AV551" s="303"/>
      <c r="AW551" s="213"/>
      <c r="AX551" s="213"/>
      <c r="AY551" s="213"/>
      <c r="AZ551" s="213"/>
      <c r="BA551" s="213"/>
      <c r="BB551" s="213"/>
      <c r="BC551" s="213"/>
      <c r="BD551" s="213"/>
      <c r="BE551" s="213"/>
      <c r="BF551" s="213"/>
      <c r="BG551" s="213"/>
      <c r="BH551" s="213"/>
      <c r="BI551" s="213"/>
      <c r="BJ551" s="213"/>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row>
    <row r="552" spans="1:243" ht="15.6">
      <c r="A552" s="170">
        <f>A551+1</f>
        <v>129</v>
      </c>
      <c r="B552" s="327">
        <f t="shared" si="123"/>
        <v>312.10000000000002</v>
      </c>
      <c r="C552" s="909"/>
      <c r="D552" s="603">
        <f t="shared" si="124"/>
        <v>0</v>
      </c>
      <c r="E552" s="603">
        <f t="shared" si="124"/>
        <v>0</v>
      </c>
      <c r="F552" s="603">
        <f t="shared" si="124"/>
        <v>0</v>
      </c>
      <c r="G552" s="603">
        <f t="shared" si="124"/>
        <v>0</v>
      </c>
      <c r="H552" s="603">
        <f t="shared" si="124"/>
        <v>0</v>
      </c>
      <c r="I552" s="603">
        <f t="shared" si="124"/>
        <v>0</v>
      </c>
      <c r="J552" s="603">
        <f t="shared" si="124"/>
        <v>0</v>
      </c>
      <c r="K552" s="603">
        <f t="shared" si="124"/>
        <v>0</v>
      </c>
      <c r="L552" s="603">
        <f t="shared" si="124"/>
        <v>0</v>
      </c>
      <c r="M552" s="603">
        <f t="shared" si="124"/>
        <v>0</v>
      </c>
      <c r="N552" s="603">
        <f t="shared" si="124"/>
        <v>0</v>
      </c>
      <c r="O552" s="603">
        <f t="shared" si="124"/>
        <v>0</v>
      </c>
      <c r="P552" s="333">
        <f t="shared" si="125"/>
        <v>0</v>
      </c>
      <c r="S552" s="277"/>
      <c r="T552" s="277"/>
      <c r="U552" s="277"/>
      <c r="V552" s="277"/>
      <c r="W552" s="277"/>
      <c r="X552" s="277"/>
      <c r="Y552" s="277"/>
      <c r="Z552" s="277"/>
      <c r="AA552" s="277"/>
      <c r="AB552" s="277"/>
      <c r="AC552" s="277"/>
      <c r="AD552" s="277"/>
      <c r="AE552" s="277"/>
      <c r="AF552" s="277"/>
      <c r="AG552" s="277"/>
      <c r="AH552" s="277"/>
      <c r="AI552" s="277"/>
      <c r="AJ552" s="216"/>
      <c r="AK552" s="304"/>
      <c r="AL552" s="303"/>
      <c r="AM552" s="216"/>
      <c r="AN552" s="304"/>
      <c r="AO552" s="277"/>
      <c r="AP552" s="303"/>
      <c r="AQ552" s="303"/>
      <c r="AR552" s="304"/>
      <c r="AS552" s="303"/>
      <c r="AT552" s="303"/>
      <c r="AU552" s="303"/>
      <c r="AV552" s="303"/>
      <c r="AW552" s="213"/>
      <c r="AX552" s="213"/>
      <c r="AY552" s="213"/>
      <c r="AZ552" s="213"/>
      <c r="BA552" s="213"/>
      <c r="BB552" s="213"/>
      <c r="BC552" s="213"/>
      <c r="BD552" s="213"/>
      <c r="BE552" s="213"/>
      <c r="BF552" s="213"/>
      <c r="BG552" s="213"/>
      <c r="BH552" s="213"/>
      <c r="BI552" s="213"/>
      <c r="BJ552" s="213"/>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row>
    <row r="553" spans="1:243" ht="15.6">
      <c r="A553" s="170">
        <f>A552+1</f>
        <v>130</v>
      </c>
      <c r="B553" s="327">
        <f t="shared" si="123"/>
        <v>314</v>
      </c>
      <c r="C553" s="909"/>
      <c r="D553" s="603">
        <f t="shared" si="124"/>
        <v>0</v>
      </c>
      <c r="E553" s="603">
        <f t="shared" si="124"/>
        <v>0</v>
      </c>
      <c r="F553" s="603">
        <f t="shared" si="124"/>
        <v>0</v>
      </c>
      <c r="G553" s="603">
        <f t="shared" si="124"/>
        <v>0</v>
      </c>
      <c r="H553" s="603">
        <f t="shared" si="124"/>
        <v>0</v>
      </c>
      <c r="I553" s="603">
        <f t="shared" si="124"/>
        <v>0</v>
      </c>
      <c r="J553" s="603">
        <f t="shared" si="124"/>
        <v>0</v>
      </c>
      <c r="K553" s="603">
        <f t="shared" si="124"/>
        <v>0</v>
      </c>
      <c r="L553" s="603">
        <f t="shared" si="124"/>
        <v>0</v>
      </c>
      <c r="M553" s="603">
        <f t="shared" si="124"/>
        <v>0</v>
      </c>
      <c r="N553" s="603">
        <f t="shared" si="124"/>
        <v>0</v>
      </c>
      <c r="O553" s="603">
        <f t="shared" si="124"/>
        <v>0</v>
      </c>
      <c r="P553" s="333">
        <f t="shared" si="125"/>
        <v>0</v>
      </c>
      <c r="S553" s="277"/>
      <c r="T553" s="277"/>
      <c r="U553" s="277"/>
      <c r="V553" s="277"/>
      <c r="W553" s="277"/>
      <c r="X553" s="277"/>
      <c r="Y553" s="277"/>
      <c r="Z553" s="277"/>
      <c r="AA553" s="277"/>
      <c r="AB553" s="277"/>
      <c r="AC553" s="277"/>
      <c r="AD553" s="277"/>
      <c r="AE553" s="277"/>
      <c r="AF553" s="277"/>
      <c r="AG553" s="277"/>
      <c r="AH553" s="277"/>
      <c r="AI553" s="277"/>
      <c r="AJ553" s="216"/>
      <c r="AK553" s="304"/>
      <c r="AL553" s="303"/>
      <c r="AM553" s="216"/>
      <c r="AN553" s="304"/>
      <c r="AO553" s="277"/>
      <c r="AP553" s="303"/>
      <c r="AQ553" s="303"/>
      <c r="AR553" s="304"/>
      <c r="AS553" s="303"/>
      <c r="AT553" s="303"/>
      <c r="AU553" s="303"/>
      <c r="AV553" s="303"/>
      <c r="AW553" s="213"/>
      <c r="AX553" s="213"/>
      <c r="AY553" s="213"/>
      <c r="AZ553" s="213"/>
      <c r="BA553" s="213"/>
      <c r="BB553" s="213"/>
      <c r="BC553" s="213"/>
      <c r="BD553" s="213"/>
      <c r="BE553" s="213"/>
      <c r="BF553" s="213"/>
      <c r="BG553" s="213"/>
      <c r="BH553" s="213"/>
      <c r="BI553" s="213"/>
      <c r="BJ553" s="21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row>
    <row r="554" spans="1:243" ht="15.6">
      <c r="A554" s="170">
        <f>A553+1</f>
        <v>131</v>
      </c>
      <c r="B554" s="327">
        <f t="shared" si="123"/>
        <v>315</v>
      </c>
      <c r="C554" s="909"/>
      <c r="D554" s="603">
        <f t="shared" si="124"/>
        <v>0</v>
      </c>
      <c r="E554" s="603">
        <f t="shared" si="124"/>
        <v>0</v>
      </c>
      <c r="F554" s="603">
        <f t="shared" si="124"/>
        <v>0</v>
      </c>
      <c r="G554" s="603">
        <f t="shared" si="124"/>
        <v>0</v>
      </c>
      <c r="H554" s="603">
        <f t="shared" si="124"/>
        <v>0</v>
      </c>
      <c r="I554" s="603">
        <f t="shared" si="124"/>
        <v>0</v>
      </c>
      <c r="J554" s="603">
        <f t="shared" si="124"/>
        <v>0</v>
      </c>
      <c r="K554" s="603">
        <f t="shared" si="124"/>
        <v>0</v>
      </c>
      <c r="L554" s="603">
        <f t="shared" si="124"/>
        <v>0</v>
      </c>
      <c r="M554" s="603">
        <f t="shared" si="124"/>
        <v>0</v>
      </c>
      <c r="N554" s="603">
        <f t="shared" si="124"/>
        <v>0</v>
      </c>
      <c r="O554" s="603">
        <f t="shared" si="124"/>
        <v>0</v>
      </c>
      <c r="P554" s="333">
        <f t="shared" si="125"/>
        <v>0</v>
      </c>
      <c r="S554" s="277"/>
      <c r="T554" s="277"/>
      <c r="U554" s="277"/>
      <c r="V554" s="277"/>
      <c r="W554" s="277"/>
      <c r="X554" s="277"/>
      <c r="Y554" s="277"/>
      <c r="Z554" s="277"/>
      <c r="AA554" s="277"/>
      <c r="AB554" s="277"/>
      <c r="AC554" s="277"/>
      <c r="AD554" s="277"/>
      <c r="AE554" s="277"/>
      <c r="AF554" s="277"/>
      <c r="AG554" s="277"/>
      <c r="AH554" s="277"/>
      <c r="AI554" s="277"/>
      <c r="AJ554" s="216"/>
      <c r="AK554" s="304"/>
      <c r="AL554" s="303"/>
      <c r="AM554" s="216"/>
      <c r="AN554" s="304"/>
      <c r="AO554" s="277"/>
      <c r="AP554" s="303"/>
      <c r="AQ554" s="303"/>
      <c r="AR554" s="304"/>
      <c r="AS554" s="303"/>
      <c r="AT554" s="303"/>
      <c r="AU554" s="303"/>
      <c r="AV554" s="303"/>
      <c r="AW554" s="213"/>
      <c r="AX554" s="213"/>
      <c r="AY554" s="213"/>
      <c r="AZ554" s="213"/>
      <c r="BA554" s="213"/>
      <c r="BB554" s="213"/>
      <c r="BC554" s="213"/>
      <c r="BD554" s="213"/>
      <c r="BE554" s="213"/>
      <c r="BF554" s="213"/>
      <c r="BG554" s="213"/>
      <c r="BH554" s="213"/>
      <c r="BI554" s="213"/>
      <c r="BJ554" s="213"/>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row>
    <row r="555" spans="1:243" ht="15.6">
      <c r="A555" s="170">
        <f>A554+1</f>
        <v>132</v>
      </c>
      <c r="B555" s="327">
        <f t="shared" si="123"/>
        <v>316</v>
      </c>
      <c r="C555" s="909"/>
      <c r="D555" s="603">
        <f t="shared" si="124"/>
        <v>0</v>
      </c>
      <c r="E555" s="603">
        <f t="shared" si="124"/>
        <v>0</v>
      </c>
      <c r="F555" s="603">
        <f t="shared" si="124"/>
        <v>0</v>
      </c>
      <c r="G555" s="603">
        <f t="shared" si="124"/>
        <v>0</v>
      </c>
      <c r="H555" s="603">
        <f t="shared" si="124"/>
        <v>0</v>
      </c>
      <c r="I555" s="603">
        <f t="shared" si="124"/>
        <v>0</v>
      </c>
      <c r="J555" s="603">
        <f t="shared" si="124"/>
        <v>0</v>
      </c>
      <c r="K555" s="603">
        <f t="shared" si="124"/>
        <v>0</v>
      </c>
      <c r="L555" s="603">
        <f t="shared" si="124"/>
        <v>0</v>
      </c>
      <c r="M555" s="603">
        <f t="shared" si="124"/>
        <v>0</v>
      </c>
      <c r="N555" s="603">
        <f t="shared" si="124"/>
        <v>0</v>
      </c>
      <c r="O555" s="603">
        <f t="shared" si="124"/>
        <v>0</v>
      </c>
      <c r="P555" s="333">
        <f t="shared" si="125"/>
        <v>0</v>
      </c>
      <c r="S555" s="277"/>
      <c r="T555" s="277"/>
      <c r="U555" s="277"/>
      <c r="V555" s="277"/>
      <c r="W555" s="277"/>
      <c r="X555" s="277"/>
      <c r="Y555" s="277"/>
      <c r="Z555" s="277"/>
      <c r="AA555" s="277"/>
      <c r="AB555" s="277"/>
      <c r="AC555" s="277"/>
      <c r="AD555" s="277"/>
      <c r="AE555" s="277"/>
      <c r="AF555" s="277"/>
      <c r="AG555" s="277"/>
      <c r="AH555" s="277"/>
      <c r="AI555" s="277"/>
      <c r="AJ555" s="216"/>
      <c r="AK555" s="304"/>
      <c r="AL555" s="303"/>
      <c r="AM555" s="216"/>
      <c r="AN555" s="304"/>
      <c r="AO555" s="277"/>
      <c r="AP555" s="303"/>
      <c r="AQ555" s="303"/>
      <c r="AR555" s="304"/>
      <c r="AS555" s="303"/>
      <c r="AT555" s="303"/>
      <c r="AU555" s="303"/>
      <c r="AV555" s="303"/>
      <c r="AW555" s="213"/>
      <c r="AX555" s="213"/>
      <c r="AY555" s="213"/>
      <c r="AZ555" s="213"/>
      <c r="BA555" s="213"/>
      <c r="BB555" s="213"/>
      <c r="BC555" s="213"/>
      <c r="BD555" s="213"/>
      <c r="BE555" s="213"/>
      <c r="BF555" s="213"/>
      <c r="BG555" s="213"/>
      <c r="BH555" s="213"/>
      <c r="BI555" s="213"/>
      <c r="BJ555" s="213"/>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row>
    <row r="556" spans="1:243" ht="15.6">
      <c r="A556" s="355"/>
      <c r="B556" s="287"/>
      <c r="C556" s="287"/>
      <c r="D556" s="287"/>
      <c r="E556" s="287"/>
      <c r="F556" s="287"/>
      <c r="G556" s="287"/>
      <c r="H556" s="287"/>
      <c r="I556" s="287"/>
      <c r="J556" s="287"/>
      <c r="K556" s="334"/>
      <c r="L556" s="287"/>
      <c r="M556" s="287"/>
      <c r="N556" s="287"/>
      <c r="O556" s="287"/>
      <c r="P556" s="339"/>
      <c r="S556" s="277"/>
      <c r="T556" s="277"/>
      <c r="U556" s="277"/>
      <c r="V556" s="277"/>
      <c r="W556" s="277"/>
      <c r="X556" s="277"/>
      <c r="Y556" s="277"/>
      <c r="Z556" s="277"/>
      <c r="AA556" s="277"/>
      <c r="AB556" s="277"/>
      <c r="AC556" s="277"/>
      <c r="AD556" s="277"/>
      <c r="AE556" s="277"/>
      <c r="AF556" s="277"/>
      <c r="AG556" s="277"/>
      <c r="AH556" s="277"/>
      <c r="AI556" s="277"/>
      <c r="AJ556" s="216"/>
      <c r="AK556" s="304"/>
      <c r="AL556" s="303"/>
      <c r="AM556" s="216"/>
      <c r="AN556" s="304"/>
      <c r="AO556" s="277"/>
      <c r="AP556" s="303"/>
      <c r="AQ556" s="303"/>
      <c r="AR556" s="304"/>
      <c r="AS556" s="303"/>
      <c r="AT556" s="303"/>
      <c r="AU556" s="303"/>
      <c r="AV556" s="303"/>
      <c r="AW556" s="213"/>
      <c r="AX556" s="213"/>
      <c r="AY556" s="213"/>
      <c r="AZ556" s="213"/>
      <c r="BA556" s="213"/>
      <c r="BB556" s="213"/>
      <c r="BC556" s="213"/>
      <c r="BD556" s="213"/>
      <c r="BE556" s="213"/>
      <c r="BF556" s="213"/>
      <c r="BG556" s="213"/>
      <c r="BH556" s="213"/>
      <c r="BI556" s="213"/>
      <c r="BJ556" s="213"/>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row>
    <row r="557" spans="1:243" ht="18.600000000000001">
      <c r="A557" s="355"/>
      <c r="B557" s="355" t="s">
        <v>1078</v>
      </c>
      <c r="C557" s="334" t="s">
        <v>730</v>
      </c>
      <c r="D557" s="1778" t="s">
        <v>731</v>
      </c>
      <c r="E557" s="1779"/>
      <c r="F557" s="1779"/>
      <c r="G557" s="1779"/>
      <c r="H557" s="1779"/>
      <c r="I557" s="1779"/>
      <c r="J557" s="1779"/>
      <c r="K557" s="1779"/>
      <c r="L557" s="1779"/>
      <c r="M557" s="1779"/>
      <c r="N557" s="1779"/>
      <c r="O557" s="1779"/>
      <c r="P557" s="1779"/>
      <c r="S557" s="277"/>
      <c r="T557" s="277"/>
      <c r="U557" s="277"/>
      <c r="V557" s="277"/>
      <c r="W557" s="277"/>
      <c r="X557" s="277"/>
      <c r="Y557" s="277"/>
      <c r="Z557" s="277"/>
      <c r="AA557" s="277"/>
      <c r="AB557" s="277"/>
      <c r="AC557" s="277"/>
      <c r="AD557" s="277"/>
      <c r="AE557" s="277"/>
      <c r="AF557" s="277"/>
      <c r="AG557" s="277"/>
      <c r="AH557" s="277"/>
      <c r="AI557" s="277"/>
      <c r="AJ557" s="216"/>
      <c r="AK557" s="304"/>
      <c r="AL557" s="303"/>
      <c r="AM557" s="216"/>
      <c r="AN557" s="304"/>
      <c r="AO557" s="277"/>
      <c r="AP557" s="303"/>
      <c r="AQ557" s="303"/>
      <c r="AR557" s="304"/>
      <c r="AS557" s="303"/>
      <c r="AT557" s="303"/>
      <c r="AU557" s="303"/>
      <c r="AV557" s="303"/>
      <c r="AW557" s="213"/>
      <c r="AX557" s="213"/>
      <c r="AY557" s="213"/>
      <c r="AZ557" s="213"/>
      <c r="BA557" s="213"/>
      <c r="BB557" s="213"/>
      <c r="BC557" s="213"/>
      <c r="BD557" s="213"/>
      <c r="BE557" s="213"/>
      <c r="BF557" s="213"/>
      <c r="BG557" s="213"/>
      <c r="BH557" s="213"/>
      <c r="BI557" s="213"/>
      <c r="BJ557" s="213"/>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row>
    <row r="558" spans="1:243" ht="18.600000000000001">
      <c r="A558" s="355"/>
      <c r="B558" s="322" t="s">
        <v>928</v>
      </c>
      <c r="C558" s="335" t="s">
        <v>732</v>
      </c>
      <c r="D558" s="358" t="s">
        <v>716</v>
      </c>
      <c r="E558" s="358" t="s">
        <v>717</v>
      </c>
      <c r="F558" s="358" t="s">
        <v>718</v>
      </c>
      <c r="G558" s="358" t="s">
        <v>719</v>
      </c>
      <c r="H558" s="358" t="s">
        <v>720</v>
      </c>
      <c r="I558" s="358" t="s">
        <v>721</v>
      </c>
      <c r="J558" s="358" t="s">
        <v>722</v>
      </c>
      <c r="K558" s="358" t="s">
        <v>723</v>
      </c>
      <c r="L558" s="358" t="s">
        <v>724</v>
      </c>
      <c r="M558" s="358" t="s">
        <v>725</v>
      </c>
      <c r="N558" s="358" t="s">
        <v>726</v>
      </c>
      <c r="O558" s="358" t="s">
        <v>715</v>
      </c>
      <c r="P558" s="360" t="s">
        <v>628</v>
      </c>
      <c r="S558" s="277"/>
      <c r="T558" s="277"/>
      <c r="U558" s="277"/>
      <c r="V558" s="277"/>
      <c r="W558" s="277"/>
      <c r="X558" s="277"/>
      <c r="Y558" s="277"/>
      <c r="Z558" s="277"/>
      <c r="AA558" s="277"/>
      <c r="AB558" s="277"/>
      <c r="AC558" s="277"/>
      <c r="AD558" s="277"/>
      <c r="AE558" s="277"/>
      <c r="AF558" s="277"/>
      <c r="AG558" s="277"/>
      <c r="AH558" s="277"/>
      <c r="AI558" s="277"/>
      <c r="AJ558" s="216"/>
      <c r="AK558" s="304"/>
      <c r="AL558" s="303"/>
      <c r="AM558" s="216"/>
      <c r="AN558" s="304"/>
      <c r="AO558" s="277"/>
      <c r="AP558" s="303"/>
      <c r="AQ558" s="303"/>
      <c r="AR558" s="304"/>
      <c r="AS558" s="303"/>
      <c r="AT558" s="303"/>
      <c r="AU558" s="303"/>
      <c r="AV558" s="303"/>
      <c r="AW558" s="213"/>
      <c r="AX558" s="213"/>
      <c r="AY558" s="213"/>
      <c r="AZ558" s="213"/>
      <c r="BA558" s="213"/>
      <c r="BB558" s="213"/>
      <c r="BC558" s="213"/>
      <c r="BD558" s="213"/>
      <c r="BE558" s="213"/>
      <c r="BF558" s="213"/>
      <c r="BG558" s="213"/>
      <c r="BH558" s="213"/>
      <c r="BI558" s="213"/>
      <c r="BJ558" s="213"/>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row>
    <row r="559" spans="1:243" ht="15.6">
      <c r="A559" s="170">
        <f>A555+1</f>
        <v>133</v>
      </c>
      <c r="B559" s="327">
        <f t="shared" ref="B559:B564" si="126">B541</f>
        <v>311</v>
      </c>
      <c r="C559" s="907">
        <v>0</v>
      </c>
      <c r="D559" s="603">
        <f t="shared" ref="D559:O564" si="127">C559+D550</f>
        <v>0</v>
      </c>
      <c r="E559" s="603">
        <f t="shared" si="127"/>
        <v>0</v>
      </c>
      <c r="F559" s="603">
        <f t="shared" si="127"/>
        <v>0</v>
      </c>
      <c r="G559" s="603">
        <f t="shared" si="127"/>
        <v>0</v>
      </c>
      <c r="H559" s="603">
        <f t="shared" si="127"/>
        <v>0</v>
      </c>
      <c r="I559" s="603">
        <f t="shared" si="127"/>
        <v>0</v>
      </c>
      <c r="J559" s="603">
        <f t="shared" si="127"/>
        <v>0</v>
      </c>
      <c r="K559" s="603">
        <f t="shared" si="127"/>
        <v>0</v>
      </c>
      <c r="L559" s="603">
        <f t="shared" si="127"/>
        <v>0</v>
      </c>
      <c r="M559" s="603">
        <f t="shared" si="127"/>
        <v>0</v>
      </c>
      <c r="N559" s="603">
        <f t="shared" si="127"/>
        <v>0</v>
      </c>
      <c r="O559" s="603">
        <f t="shared" si="127"/>
        <v>0</v>
      </c>
      <c r="P559" s="333">
        <f t="shared" ref="P559:P564" si="128">O559</f>
        <v>0</v>
      </c>
      <c r="S559" s="277"/>
      <c r="T559" s="277"/>
      <c r="U559" s="277"/>
      <c r="V559" s="277"/>
      <c r="W559" s="277"/>
      <c r="X559" s="277"/>
      <c r="Y559" s="277"/>
      <c r="Z559" s="277"/>
      <c r="AA559" s="277"/>
      <c r="AB559" s="277"/>
      <c r="AC559" s="277"/>
      <c r="AD559" s="277"/>
      <c r="AE559" s="277"/>
      <c r="AF559" s="277"/>
      <c r="AG559" s="277"/>
      <c r="AH559" s="277"/>
      <c r="AI559" s="277"/>
      <c r="AJ559" s="216"/>
      <c r="AK559" s="304"/>
      <c r="AL559" s="303"/>
      <c r="AM559" s="216"/>
      <c r="AN559" s="304"/>
      <c r="AO559" s="277"/>
      <c r="AP559" s="303"/>
      <c r="AQ559" s="303"/>
      <c r="AR559" s="304"/>
      <c r="AS559" s="303"/>
      <c r="AT559" s="303"/>
      <c r="AU559" s="303"/>
      <c r="AV559" s="303"/>
      <c r="AW559" s="213"/>
      <c r="AX559" s="213"/>
      <c r="AY559" s="213"/>
      <c r="AZ559" s="213"/>
      <c r="BA559" s="213"/>
      <c r="BB559" s="213"/>
      <c r="BC559" s="213"/>
      <c r="BD559" s="213"/>
      <c r="BE559" s="213"/>
      <c r="BF559" s="213"/>
      <c r="BG559" s="213"/>
      <c r="BH559" s="213"/>
      <c r="BI559" s="213"/>
      <c r="BJ559" s="213"/>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row>
    <row r="560" spans="1:243" ht="15.6">
      <c r="A560" s="170">
        <f>A559+1</f>
        <v>134</v>
      </c>
      <c r="B560" s="327">
        <f t="shared" si="126"/>
        <v>312</v>
      </c>
      <c r="C560" s="907">
        <v>0</v>
      </c>
      <c r="D560" s="603">
        <f t="shared" si="127"/>
        <v>0</v>
      </c>
      <c r="E560" s="603">
        <f t="shared" si="127"/>
        <v>0</v>
      </c>
      <c r="F560" s="603">
        <f t="shared" si="127"/>
        <v>0</v>
      </c>
      <c r="G560" s="603">
        <f t="shared" si="127"/>
        <v>0</v>
      </c>
      <c r="H560" s="603">
        <f t="shared" si="127"/>
        <v>0</v>
      </c>
      <c r="I560" s="603">
        <f t="shared" si="127"/>
        <v>0</v>
      </c>
      <c r="J560" s="603">
        <f t="shared" si="127"/>
        <v>0</v>
      </c>
      <c r="K560" s="603">
        <f t="shared" si="127"/>
        <v>0</v>
      </c>
      <c r="L560" s="603">
        <f t="shared" si="127"/>
        <v>0</v>
      </c>
      <c r="M560" s="603">
        <f t="shared" si="127"/>
        <v>0</v>
      </c>
      <c r="N560" s="603">
        <f t="shared" si="127"/>
        <v>0</v>
      </c>
      <c r="O560" s="603">
        <f t="shared" si="127"/>
        <v>0</v>
      </c>
      <c r="P560" s="333">
        <f t="shared" si="128"/>
        <v>0</v>
      </c>
      <c r="S560" s="277"/>
      <c r="T560" s="277"/>
      <c r="U560" s="277"/>
      <c r="V560" s="277"/>
      <c r="W560" s="277"/>
      <c r="X560" s="277"/>
      <c r="Y560" s="277"/>
      <c r="Z560" s="277"/>
      <c r="AA560" s="277"/>
      <c r="AB560" s="277"/>
      <c r="AC560" s="277"/>
      <c r="AD560" s="277"/>
      <c r="AE560" s="277"/>
      <c r="AF560" s="277"/>
      <c r="AG560" s="277"/>
      <c r="AH560" s="277"/>
      <c r="AI560" s="277"/>
      <c r="AJ560" s="216"/>
      <c r="AK560" s="304"/>
      <c r="AL560" s="303"/>
      <c r="AM560" s="216"/>
      <c r="AN560" s="304"/>
      <c r="AO560" s="277"/>
      <c r="AP560" s="303"/>
      <c r="AQ560" s="303"/>
      <c r="AR560" s="304"/>
      <c r="AS560" s="303"/>
      <c r="AT560" s="303"/>
      <c r="AU560" s="303"/>
      <c r="AV560" s="303"/>
      <c r="AW560" s="213"/>
      <c r="AX560" s="213"/>
      <c r="AY560" s="213"/>
      <c r="AZ560" s="213"/>
      <c r="BA560" s="213"/>
      <c r="BB560" s="213"/>
      <c r="BC560" s="213"/>
      <c r="BD560" s="213"/>
      <c r="BE560" s="213"/>
      <c r="BF560" s="213"/>
      <c r="BG560" s="213"/>
      <c r="BH560" s="213"/>
      <c r="BI560" s="213"/>
      <c r="BJ560" s="213"/>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row>
    <row r="561" spans="1:243" ht="15.6">
      <c r="A561" s="170">
        <f>A560+1</f>
        <v>135</v>
      </c>
      <c r="B561" s="327">
        <f t="shared" si="126"/>
        <v>312.10000000000002</v>
      </c>
      <c r="C561" s="907">
        <v>0</v>
      </c>
      <c r="D561" s="603">
        <f t="shared" si="127"/>
        <v>0</v>
      </c>
      <c r="E561" s="603">
        <f t="shared" si="127"/>
        <v>0</v>
      </c>
      <c r="F561" s="603">
        <f t="shared" si="127"/>
        <v>0</v>
      </c>
      <c r="G561" s="603">
        <f t="shared" si="127"/>
        <v>0</v>
      </c>
      <c r="H561" s="603">
        <f t="shared" si="127"/>
        <v>0</v>
      </c>
      <c r="I561" s="603">
        <f t="shared" si="127"/>
        <v>0</v>
      </c>
      <c r="J561" s="603">
        <f t="shared" si="127"/>
        <v>0</v>
      </c>
      <c r="K561" s="603">
        <f t="shared" si="127"/>
        <v>0</v>
      </c>
      <c r="L561" s="603">
        <f t="shared" si="127"/>
        <v>0</v>
      </c>
      <c r="M561" s="603">
        <f t="shared" si="127"/>
        <v>0</v>
      </c>
      <c r="N561" s="603">
        <f t="shared" si="127"/>
        <v>0</v>
      </c>
      <c r="O561" s="603">
        <f t="shared" si="127"/>
        <v>0</v>
      </c>
      <c r="P561" s="333">
        <f t="shared" si="128"/>
        <v>0</v>
      </c>
      <c r="S561" s="277"/>
      <c r="T561" s="277"/>
      <c r="U561" s="277"/>
      <c r="V561" s="277"/>
      <c r="W561" s="277"/>
      <c r="X561" s="277"/>
      <c r="Y561" s="277"/>
      <c r="Z561" s="277"/>
      <c r="AA561" s="277"/>
      <c r="AB561" s="277"/>
      <c r="AC561" s="277"/>
      <c r="AD561" s="277"/>
      <c r="AE561" s="277"/>
      <c r="AF561" s="277"/>
      <c r="AG561" s="277"/>
      <c r="AH561" s="277"/>
      <c r="AI561" s="277"/>
      <c r="AJ561" s="216"/>
      <c r="AK561" s="304"/>
      <c r="AL561" s="303"/>
      <c r="AM561" s="216"/>
      <c r="AN561" s="304"/>
      <c r="AO561" s="277"/>
      <c r="AP561" s="303"/>
      <c r="AQ561" s="303"/>
      <c r="AR561" s="304"/>
      <c r="AS561" s="303"/>
      <c r="AT561" s="303"/>
      <c r="AU561" s="303"/>
      <c r="AV561" s="303"/>
      <c r="AW561" s="213"/>
      <c r="AX561" s="213"/>
      <c r="AY561" s="213"/>
      <c r="AZ561" s="213"/>
      <c r="BA561" s="213"/>
      <c r="BB561" s="213"/>
      <c r="BC561" s="213"/>
      <c r="BD561" s="213"/>
      <c r="BE561" s="213"/>
      <c r="BF561" s="213"/>
      <c r="BG561" s="213"/>
      <c r="BH561" s="213"/>
      <c r="BI561" s="213"/>
      <c r="BJ561" s="213"/>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row>
    <row r="562" spans="1:243" ht="15.6">
      <c r="A562" s="170">
        <f>A561+1</f>
        <v>136</v>
      </c>
      <c r="B562" s="327">
        <f t="shared" si="126"/>
        <v>314</v>
      </c>
      <c r="C562" s="907">
        <v>0</v>
      </c>
      <c r="D562" s="603">
        <f t="shared" si="127"/>
        <v>0</v>
      </c>
      <c r="E562" s="603">
        <f t="shared" si="127"/>
        <v>0</v>
      </c>
      <c r="F562" s="603">
        <f t="shared" si="127"/>
        <v>0</v>
      </c>
      <c r="G562" s="603">
        <f t="shared" si="127"/>
        <v>0</v>
      </c>
      <c r="H562" s="603">
        <f t="shared" si="127"/>
        <v>0</v>
      </c>
      <c r="I562" s="603">
        <f t="shared" si="127"/>
        <v>0</v>
      </c>
      <c r="J562" s="603">
        <f t="shared" si="127"/>
        <v>0</v>
      </c>
      <c r="K562" s="603">
        <f t="shared" si="127"/>
        <v>0</v>
      </c>
      <c r="L562" s="603">
        <f t="shared" si="127"/>
        <v>0</v>
      </c>
      <c r="M562" s="603">
        <f t="shared" si="127"/>
        <v>0</v>
      </c>
      <c r="N562" s="603">
        <f t="shared" si="127"/>
        <v>0</v>
      </c>
      <c r="O562" s="603">
        <f t="shared" si="127"/>
        <v>0</v>
      </c>
      <c r="P562" s="333">
        <f t="shared" si="128"/>
        <v>0</v>
      </c>
      <c r="S562" s="277"/>
      <c r="T562" s="277"/>
      <c r="U562" s="277"/>
      <c r="V562" s="277"/>
      <c r="W562" s="277"/>
      <c r="X562" s="277"/>
      <c r="Y562" s="277"/>
      <c r="Z562" s="277"/>
      <c r="AA562" s="277"/>
      <c r="AB562" s="277"/>
      <c r="AC562" s="277"/>
      <c r="AD562" s="277"/>
      <c r="AE562" s="277"/>
      <c r="AF562" s="277"/>
      <c r="AG562" s="277"/>
      <c r="AH562" s="277"/>
      <c r="AI562" s="277"/>
      <c r="AJ562" s="216"/>
      <c r="AK562" s="304"/>
      <c r="AL562" s="303"/>
      <c r="AM562" s="216"/>
      <c r="AN562" s="304"/>
      <c r="AO562" s="277"/>
      <c r="AP562" s="303"/>
      <c r="AQ562" s="303"/>
      <c r="AR562" s="304"/>
      <c r="AS562" s="303"/>
      <c r="AT562" s="303"/>
      <c r="AU562" s="303"/>
      <c r="AV562" s="303"/>
      <c r="AW562" s="213"/>
      <c r="AX562" s="213"/>
      <c r="AY562" s="213"/>
      <c r="AZ562" s="213"/>
      <c r="BA562" s="213"/>
      <c r="BB562" s="213"/>
      <c r="BC562" s="213"/>
      <c r="BD562" s="213"/>
      <c r="BE562" s="213"/>
      <c r="BF562" s="213"/>
      <c r="BG562" s="213"/>
      <c r="BH562" s="213"/>
      <c r="BI562" s="213"/>
      <c r="BJ562" s="213"/>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row>
    <row r="563" spans="1:243" ht="15.6">
      <c r="A563" s="170">
        <f>A562+1</f>
        <v>137</v>
      </c>
      <c r="B563" s="327">
        <f t="shared" si="126"/>
        <v>315</v>
      </c>
      <c r="C563" s="907">
        <v>0</v>
      </c>
      <c r="D563" s="603">
        <f t="shared" si="127"/>
        <v>0</v>
      </c>
      <c r="E563" s="603">
        <f t="shared" si="127"/>
        <v>0</v>
      </c>
      <c r="F563" s="603">
        <f t="shared" si="127"/>
        <v>0</v>
      </c>
      <c r="G563" s="603">
        <f t="shared" si="127"/>
        <v>0</v>
      </c>
      <c r="H563" s="603">
        <f t="shared" si="127"/>
        <v>0</v>
      </c>
      <c r="I563" s="603">
        <f t="shared" si="127"/>
        <v>0</v>
      </c>
      <c r="J563" s="603">
        <f t="shared" si="127"/>
        <v>0</v>
      </c>
      <c r="K563" s="603">
        <f t="shared" si="127"/>
        <v>0</v>
      </c>
      <c r="L563" s="603">
        <f t="shared" si="127"/>
        <v>0</v>
      </c>
      <c r="M563" s="603">
        <f t="shared" si="127"/>
        <v>0</v>
      </c>
      <c r="N563" s="603">
        <f t="shared" si="127"/>
        <v>0</v>
      </c>
      <c r="O563" s="603">
        <f t="shared" si="127"/>
        <v>0</v>
      </c>
      <c r="P563" s="333">
        <f t="shared" si="128"/>
        <v>0</v>
      </c>
      <c r="S563" s="277"/>
      <c r="T563" s="277"/>
      <c r="U563" s="277"/>
      <c r="V563" s="277"/>
      <c r="W563" s="277"/>
      <c r="X563" s="277"/>
      <c r="Y563" s="277"/>
      <c r="Z563" s="277"/>
      <c r="AA563" s="277"/>
      <c r="AB563" s="277"/>
      <c r="AC563" s="277"/>
      <c r="AD563" s="277"/>
      <c r="AE563" s="277"/>
      <c r="AF563" s="277"/>
      <c r="AG563" s="277"/>
      <c r="AH563" s="277"/>
      <c r="AI563" s="277"/>
      <c r="AJ563" s="216"/>
      <c r="AK563" s="304"/>
      <c r="AL563" s="303"/>
      <c r="AM563" s="216"/>
      <c r="AN563" s="304"/>
      <c r="AO563" s="277"/>
      <c r="AP563" s="303"/>
      <c r="AQ563" s="303"/>
      <c r="AR563" s="304"/>
      <c r="AS563" s="303"/>
      <c r="AT563" s="303"/>
      <c r="AU563" s="303"/>
      <c r="AV563" s="303"/>
      <c r="AW563" s="213"/>
      <c r="AX563" s="213"/>
      <c r="AY563" s="213"/>
      <c r="AZ563" s="213"/>
      <c r="BA563" s="213"/>
      <c r="BB563" s="213"/>
      <c r="BC563" s="213"/>
      <c r="BD563" s="213"/>
      <c r="BE563" s="213"/>
      <c r="BF563" s="213"/>
      <c r="BG563" s="213"/>
      <c r="BH563" s="213"/>
      <c r="BI563" s="213"/>
      <c r="BJ563" s="21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row>
    <row r="564" spans="1:243" ht="15.6">
      <c r="A564" s="170">
        <f>A563+1</f>
        <v>138</v>
      </c>
      <c r="B564" s="327">
        <f t="shared" si="126"/>
        <v>316</v>
      </c>
      <c r="C564" s="907">
        <v>0</v>
      </c>
      <c r="D564" s="603">
        <f t="shared" si="127"/>
        <v>0</v>
      </c>
      <c r="E564" s="603">
        <f t="shared" si="127"/>
        <v>0</v>
      </c>
      <c r="F564" s="603">
        <f t="shared" si="127"/>
        <v>0</v>
      </c>
      <c r="G564" s="603">
        <f t="shared" si="127"/>
        <v>0</v>
      </c>
      <c r="H564" s="603">
        <f t="shared" si="127"/>
        <v>0</v>
      </c>
      <c r="I564" s="603">
        <f t="shared" si="127"/>
        <v>0</v>
      </c>
      <c r="J564" s="603">
        <f t="shared" si="127"/>
        <v>0</v>
      </c>
      <c r="K564" s="603">
        <f t="shared" si="127"/>
        <v>0</v>
      </c>
      <c r="L564" s="603">
        <f t="shared" si="127"/>
        <v>0</v>
      </c>
      <c r="M564" s="603">
        <f t="shared" si="127"/>
        <v>0</v>
      </c>
      <c r="N564" s="603">
        <f t="shared" si="127"/>
        <v>0</v>
      </c>
      <c r="O564" s="603">
        <f t="shared" si="127"/>
        <v>0</v>
      </c>
      <c r="P564" s="333">
        <f t="shared" si="128"/>
        <v>0</v>
      </c>
      <c r="S564" s="277"/>
      <c r="T564" s="277"/>
      <c r="U564" s="277"/>
      <c r="V564" s="277"/>
      <c r="W564" s="277"/>
      <c r="X564" s="277"/>
      <c r="Y564" s="277"/>
      <c r="Z564" s="277"/>
      <c r="AA564" s="277"/>
      <c r="AB564" s="277"/>
      <c r="AC564" s="277"/>
      <c r="AD564" s="277"/>
      <c r="AE564" s="277"/>
      <c r="AF564" s="277"/>
      <c r="AG564" s="277"/>
      <c r="AH564" s="277"/>
      <c r="AI564" s="277"/>
      <c r="AJ564" s="216"/>
      <c r="AK564" s="304"/>
      <c r="AL564" s="303"/>
      <c r="AM564" s="216"/>
      <c r="AN564" s="304"/>
      <c r="AO564" s="277"/>
      <c r="AP564" s="303"/>
      <c r="AQ564" s="303"/>
      <c r="AR564" s="304"/>
      <c r="AS564" s="303"/>
      <c r="AT564" s="303"/>
      <c r="AU564" s="303"/>
      <c r="AV564" s="303"/>
      <c r="AW564" s="213"/>
      <c r="AX564" s="213"/>
      <c r="AY564" s="213"/>
      <c r="AZ564" s="213"/>
      <c r="BA564" s="213"/>
      <c r="BB564" s="213"/>
      <c r="BC564" s="213"/>
      <c r="BD564" s="213"/>
      <c r="BE564" s="213"/>
      <c r="BF564" s="213"/>
      <c r="BG564" s="213"/>
      <c r="BH564" s="213"/>
      <c r="BI564" s="213"/>
      <c r="BJ564" s="213"/>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row>
    <row r="565" spans="1:243" ht="15.6">
      <c r="A565" s="170"/>
      <c r="B565" s="327"/>
      <c r="C565" s="328"/>
      <c r="D565" s="328"/>
      <c r="E565" s="328"/>
      <c r="F565" s="328"/>
      <c r="G565" s="328"/>
      <c r="H565" s="328"/>
      <c r="I565" s="328"/>
      <c r="J565" s="328"/>
      <c r="K565" s="328"/>
      <c r="L565" s="328"/>
      <c r="M565" s="328"/>
      <c r="N565" s="328"/>
      <c r="O565" s="328"/>
      <c r="P565" s="333"/>
      <c r="S565" s="277"/>
      <c r="T565" s="277"/>
      <c r="U565" s="277"/>
      <c r="V565" s="277"/>
      <c r="W565" s="277"/>
      <c r="X565" s="277"/>
      <c r="Y565" s="277"/>
      <c r="Z565" s="277"/>
      <c r="AA565" s="277"/>
      <c r="AB565" s="277"/>
      <c r="AC565" s="277"/>
      <c r="AD565" s="277"/>
      <c r="AE565" s="277"/>
      <c r="AF565" s="277"/>
      <c r="AG565" s="277"/>
      <c r="AH565" s="277"/>
      <c r="AI565" s="277"/>
      <c r="AJ565" s="216"/>
      <c r="AK565" s="304"/>
      <c r="AL565" s="303"/>
      <c r="AM565" s="216"/>
      <c r="AN565" s="304"/>
      <c r="AO565" s="277"/>
      <c r="AP565" s="303"/>
      <c r="AQ565" s="303"/>
      <c r="AR565" s="304"/>
      <c r="AS565" s="303"/>
      <c r="AT565" s="303"/>
      <c r="AU565" s="303"/>
      <c r="AV565" s="303"/>
      <c r="AW565" s="213"/>
      <c r="AX565" s="213"/>
      <c r="AY565" s="213"/>
      <c r="AZ565" s="213"/>
      <c r="BA565" s="213"/>
      <c r="BB565" s="213"/>
      <c r="BC565" s="213"/>
      <c r="BD565" s="213"/>
      <c r="BE565" s="213"/>
      <c r="BF565" s="213"/>
      <c r="BG565" s="213"/>
      <c r="BH565" s="213"/>
      <c r="BI565" s="213"/>
      <c r="BJ565" s="213"/>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row>
    <row r="566" spans="1:243" s="42" customFormat="1" ht="15.6">
      <c r="A566" s="336" t="s">
        <v>713</v>
      </c>
      <c r="B566" s="336"/>
      <c r="C566" s="341" t="s">
        <v>476</v>
      </c>
      <c r="D566" s="287"/>
      <c r="E566" s="287"/>
      <c r="F566" s="287"/>
      <c r="G566" s="287"/>
      <c r="H566" s="287"/>
      <c r="I566" s="287"/>
      <c r="J566" s="287"/>
      <c r="K566" s="334"/>
      <c r="L566" s="287"/>
      <c r="M566" s="287"/>
      <c r="N566" s="287"/>
      <c r="O566" s="287"/>
      <c r="P566" s="339"/>
      <c r="Q566" s="342"/>
      <c r="R566" s="342"/>
      <c r="S566" s="343"/>
      <c r="T566" s="343"/>
      <c r="U566" s="343"/>
      <c r="V566" s="343"/>
      <c r="W566" s="343"/>
      <c r="X566" s="343"/>
      <c r="Y566" s="343"/>
      <c r="Z566" s="343"/>
      <c r="AA566" s="343"/>
      <c r="AB566" s="343"/>
      <c r="AC566" s="343"/>
      <c r="AD566" s="343"/>
      <c r="AE566" s="343"/>
      <c r="AF566" s="343"/>
      <c r="AG566" s="343"/>
      <c r="AH566" s="343"/>
      <c r="AI566" s="343"/>
      <c r="AJ566" s="344"/>
      <c r="AK566" s="345"/>
      <c r="AL566" s="346"/>
      <c r="AM566" s="344"/>
      <c r="AN566" s="345"/>
      <c r="AO566" s="343"/>
      <c r="AP566" s="346"/>
      <c r="AQ566" s="346"/>
      <c r="AR566" s="345"/>
      <c r="AS566" s="346"/>
      <c r="AT566" s="346"/>
      <c r="AU566" s="346"/>
      <c r="AV566" s="346"/>
      <c r="AW566" s="287"/>
      <c r="AX566" s="287"/>
      <c r="AY566" s="287"/>
      <c r="AZ566" s="287"/>
      <c r="BA566" s="287"/>
      <c r="BB566" s="287"/>
      <c r="BC566" s="287"/>
      <c r="BD566" s="287"/>
      <c r="BE566" s="287"/>
      <c r="BF566" s="287"/>
      <c r="BG566" s="287"/>
      <c r="BH566" s="287"/>
      <c r="BI566" s="287"/>
      <c r="BJ566" s="287"/>
    </row>
    <row r="567" spans="1:243" ht="15.6">
      <c r="A567" s="355"/>
      <c r="B567" s="336"/>
      <c r="C567" s="287"/>
      <c r="D567" s="287"/>
      <c r="E567" s="287"/>
      <c r="F567" s="287"/>
      <c r="G567" s="287"/>
      <c r="H567" s="287"/>
      <c r="I567" s="287"/>
      <c r="J567" s="287"/>
      <c r="K567" s="334"/>
      <c r="L567" s="287"/>
      <c r="M567" s="287"/>
      <c r="N567" s="287"/>
      <c r="O567" s="287"/>
      <c r="P567" s="339"/>
      <c r="S567" s="277"/>
      <c r="T567" s="277"/>
      <c r="U567" s="277"/>
      <c r="V567" s="277"/>
      <c r="W567" s="277"/>
      <c r="X567" s="277"/>
      <c r="Y567" s="277"/>
      <c r="Z567" s="277"/>
      <c r="AA567" s="277"/>
      <c r="AB567" s="277"/>
      <c r="AC567" s="277"/>
      <c r="AD567" s="277"/>
      <c r="AE567" s="277"/>
      <c r="AF567" s="277"/>
      <c r="AG567" s="277"/>
      <c r="AH567" s="277"/>
      <c r="AI567" s="277"/>
      <c r="AJ567" s="216"/>
      <c r="AK567" s="304"/>
      <c r="AL567" s="303"/>
      <c r="AM567" s="216"/>
      <c r="AN567" s="304"/>
      <c r="AO567" s="277"/>
      <c r="AP567" s="303"/>
      <c r="AQ567" s="303"/>
      <c r="AR567" s="304"/>
      <c r="AS567" s="303"/>
      <c r="AT567" s="303"/>
      <c r="AU567" s="303"/>
      <c r="AV567" s="303"/>
      <c r="AW567" s="213"/>
      <c r="AX567" s="213"/>
      <c r="AY567" s="213"/>
      <c r="AZ567" s="213"/>
      <c r="BA567" s="213"/>
      <c r="BB567" s="213"/>
      <c r="BC567" s="213"/>
      <c r="BD567" s="213"/>
      <c r="BE567" s="213"/>
      <c r="BF567" s="213"/>
      <c r="BG567" s="213"/>
      <c r="BH567" s="213"/>
      <c r="BI567" s="213"/>
      <c r="BJ567" s="213"/>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row>
    <row r="568" spans="1:243" ht="18.600000000000001">
      <c r="A568" s="355" t="s">
        <v>494</v>
      </c>
      <c r="B568" s="355" t="s">
        <v>1078</v>
      </c>
      <c r="C568" s="334"/>
      <c r="D568" s="1778" t="s">
        <v>714</v>
      </c>
      <c r="E568" s="1779"/>
      <c r="F568" s="1779"/>
      <c r="G568" s="1779"/>
      <c r="H568" s="1779"/>
      <c r="I568" s="1779"/>
      <c r="J568" s="1779"/>
      <c r="K568" s="1779"/>
      <c r="L568" s="1779"/>
      <c r="M568" s="1779"/>
      <c r="N568" s="1779"/>
      <c r="O568" s="1779"/>
      <c r="P568" s="357"/>
      <c r="S568" s="277"/>
      <c r="T568" s="277"/>
      <c r="U568" s="277"/>
      <c r="V568" s="277"/>
      <c r="W568" s="277"/>
      <c r="X568" s="277"/>
      <c r="Y568" s="277"/>
      <c r="Z568" s="277"/>
      <c r="AA568" s="277"/>
      <c r="AB568" s="277"/>
      <c r="AC568" s="277"/>
      <c r="AD568" s="277"/>
      <c r="AE568" s="277"/>
      <c r="AF568" s="277"/>
      <c r="AG568" s="277"/>
      <c r="AH568" s="277"/>
      <c r="AI568" s="277"/>
      <c r="AJ568" s="216"/>
      <c r="AK568" s="304"/>
      <c r="AL568" s="303"/>
      <c r="AM568" s="216"/>
      <c r="AN568" s="304"/>
      <c r="AO568" s="277"/>
      <c r="AP568" s="303"/>
      <c r="AQ568" s="303"/>
      <c r="AR568" s="304"/>
      <c r="AS568" s="303"/>
      <c r="AT568" s="303"/>
      <c r="AU568" s="303"/>
      <c r="AV568" s="303"/>
      <c r="AW568" s="213"/>
      <c r="AX568" s="213"/>
      <c r="AY568" s="213"/>
      <c r="AZ568" s="213"/>
      <c r="BA568" s="213"/>
      <c r="BB568" s="213"/>
      <c r="BC568" s="213"/>
      <c r="BD568" s="213"/>
      <c r="BE568" s="213"/>
      <c r="BF568" s="213"/>
      <c r="BG568" s="213"/>
      <c r="BH568" s="213"/>
      <c r="BI568" s="213"/>
      <c r="BJ568" s="213"/>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row>
    <row r="569" spans="1:243" ht="15.6">
      <c r="A569" s="322" t="s">
        <v>928</v>
      </c>
      <c r="B569" s="322" t="s">
        <v>928</v>
      </c>
      <c r="C569" s="335"/>
      <c r="D569" s="358" t="s">
        <v>715</v>
      </c>
      <c r="E569" s="358" t="s">
        <v>716</v>
      </c>
      <c r="F569" s="358" t="s">
        <v>717</v>
      </c>
      <c r="G569" s="358" t="s">
        <v>718</v>
      </c>
      <c r="H569" s="358" t="s">
        <v>719</v>
      </c>
      <c r="I569" s="358" t="s">
        <v>720</v>
      </c>
      <c r="J569" s="358" t="s">
        <v>721</v>
      </c>
      <c r="K569" s="358" t="s">
        <v>722</v>
      </c>
      <c r="L569" s="358" t="s">
        <v>723</v>
      </c>
      <c r="M569" s="358" t="s">
        <v>724</v>
      </c>
      <c r="N569" s="358" t="s">
        <v>725</v>
      </c>
      <c r="O569" s="358" t="s">
        <v>726</v>
      </c>
      <c r="P569" s="359"/>
      <c r="S569" s="277"/>
      <c r="T569" s="277"/>
      <c r="U569" s="277"/>
      <c r="V569" s="277"/>
      <c r="W569" s="277"/>
      <c r="X569" s="277"/>
      <c r="Y569" s="277"/>
      <c r="Z569" s="277"/>
      <c r="AA569" s="277"/>
      <c r="AB569" s="277"/>
      <c r="AC569" s="277"/>
      <c r="AD569" s="277"/>
      <c r="AE569" s="277"/>
      <c r="AF569" s="277"/>
      <c r="AG569" s="277"/>
      <c r="AH569" s="277"/>
      <c r="AI569" s="277"/>
      <c r="AJ569" s="216"/>
      <c r="AK569" s="304"/>
      <c r="AL569" s="303"/>
      <c r="AM569" s="216"/>
      <c r="AN569" s="304"/>
      <c r="AO569" s="277"/>
      <c r="AP569" s="303"/>
      <c r="AQ569" s="303"/>
      <c r="AR569" s="304"/>
      <c r="AS569" s="303"/>
      <c r="AT569" s="303"/>
      <c r="AU569" s="303"/>
      <c r="AV569" s="303"/>
      <c r="AW569" s="213"/>
      <c r="AX569" s="213"/>
      <c r="AY569" s="213"/>
      <c r="AZ569" s="213"/>
      <c r="BA569" s="213"/>
      <c r="BB569" s="213"/>
      <c r="BC569" s="213"/>
      <c r="BD569" s="213"/>
      <c r="BE569" s="213"/>
      <c r="BF569" s="213"/>
      <c r="BG569" s="213"/>
      <c r="BH569" s="213"/>
      <c r="BI569" s="213"/>
      <c r="BJ569" s="213"/>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row>
    <row r="570" spans="1:243" ht="15.6">
      <c r="A570" s="170">
        <f>A564+1</f>
        <v>139</v>
      </c>
      <c r="B570" s="327">
        <v>321</v>
      </c>
      <c r="C570" s="287"/>
      <c r="D570" s="907">
        <v>0</v>
      </c>
      <c r="E570" s="907">
        <v>0</v>
      </c>
      <c r="F570" s="907">
        <v>0</v>
      </c>
      <c r="G570" s="907">
        <v>0</v>
      </c>
      <c r="H570" s="907">
        <v>0</v>
      </c>
      <c r="I570" s="907">
        <v>0</v>
      </c>
      <c r="J570" s="907">
        <v>0</v>
      </c>
      <c r="K570" s="907">
        <v>0</v>
      </c>
      <c r="L570" s="907">
        <v>0</v>
      </c>
      <c r="M570" s="907">
        <v>0</v>
      </c>
      <c r="N570" s="907">
        <v>0</v>
      </c>
      <c r="O570" s="907">
        <v>0</v>
      </c>
      <c r="P570" s="339"/>
      <c r="S570" s="277"/>
      <c r="T570" s="277"/>
      <c r="U570" s="277"/>
      <c r="V570" s="277"/>
      <c r="W570" s="277"/>
      <c r="X570" s="277"/>
      <c r="Y570" s="277"/>
      <c r="Z570" s="277"/>
      <c r="AA570" s="277"/>
      <c r="AB570" s="277"/>
      <c r="AC570" s="277"/>
      <c r="AD570" s="277"/>
      <c r="AE570" s="277"/>
      <c r="AF570" s="277"/>
      <c r="AG570" s="277"/>
      <c r="AH570" s="277"/>
      <c r="AI570" s="277"/>
      <c r="AJ570" s="216"/>
      <c r="AK570" s="304"/>
      <c r="AL570" s="303"/>
      <c r="AM570" s="216"/>
      <c r="AN570" s="304"/>
      <c r="AO570" s="277"/>
      <c r="AP570" s="303"/>
      <c r="AQ570" s="303"/>
      <c r="AR570" s="304"/>
      <c r="AS570" s="303"/>
      <c r="AT570" s="303"/>
      <c r="AU570" s="303"/>
      <c r="AV570" s="303"/>
      <c r="AW570" s="213"/>
      <c r="AX570" s="213"/>
      <c r="AY570" s="213"/>
      <c r="AZ570" s="213"/>
      <c r="BA570" s="213"/>
      <c r="BB570" s="213"/>
      <c r="BC570" s="213"/>
      <c r="BD570" s="213"/>
      <c r="BE570" s="213"/>
      <c r="BF570" s="213"/>
      <c r="BG570" s="213"/>
      <c r="BH570" s="213"/>
      <c r="BI570" s="213"/>
      <c r="BJ570" s="213"/>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row>
    <row r="571" spans="1:243" ht="15.6">
      <c r="A571" s="170">
        <f>A570+1</f>
        <v>140</v>
      </c>
      <c r="B571" s="327">
        <v>322</v>
      </c>
      <c r="C571" s="287"/>
      <c r="D571" s="907">
        <v>0</v>
      </c>
      <c r="E571" s="907">
        <v>0</v>
      </c>
      <c r="F571" s="907">
        <v>0</v>
      </c>
      <c r="G571" s="907">
        <v>0</v>
      </c>
      <c r="H571" s="907">
        <v>0</v>
      </c>
      <c r="I571" s="907">
        <v>0</v>
      </c>
      <c r="J571" s="907">
        <v>0</v>
      </c>
      <c r="K571" s="907">
        <v>0</v>
      </c>
      <c r="L571" s="907">
        <v>0</v>
      </c>
      <c r="M571" s="907">
        <v>0</v>
      </c>
      <c r="N571" s="907">
        <v>0</v>
      </c>
      <c r="O571" s="907">
        <v>0</v>
      </c>
      <c r="P571" s="339"/>
      <c r="S571" s="277"/>
      <c r="T571" s="277"/>
      <c r="U571" s="277"/>
      <c r="V571" s="277"/>
      <c r="W571" s="277"/>
      <c r="X571" s="277"/>
      <c r="Y571" s="277"/>
      <c r="Z571" s="277"/>
      <c r="AA571" s="277"/>
      <c r="AB571" s="277"/>
      <c r="AC571" s="277"/>
      <c r="AD571" s="277"/>
      <c r="AE571" s="277"/>
      <c r="AF571" s="277"/>
      <c r="AG571" s="277"/>
      <c r="AH571" s="277"/>
      <c r="AI571" s="277"/>
      <c r="AJ571" s="216"/>
      <c r="AK571" s="304"/>
      <c r="AL571" s="303"/>
      <c r="AM571" s="216"/>
      <c r="AN571" s="304"/>
      <c r="AO571" s="277"/>
      <c r="AP571" s="303"/>
      <c r="AQ571" s="303"/>
      <c r="AR571" s="304"/>
      <c r="AS571" s="303"/>
      <c r="AT571" s="303"/>
      <c r="AU571" s="303"/>
      <c r="AV571" s="303"/>
      <c r="AW571" s="213"/>
      <c r="AX571" s="213"/>
      <c r="AY571" s="213"/>
      <c r="AZ571" s="213"/>
      <c r="BA571" s="213"/>
      <c r="BB571" s="213"/>
      <c r="BC571" s="213"/>
      <c r="BD571" s="213"/>
      <c r="BE571" s="213"/>
      <c r="BF571" s="213"/>
      <c r="BG571" s="213"/>
      <c r="BH571" s="213"/>
      <c r="BI571" s="213"/>
      <c r="BJ571" s="213"/>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row>
    <row r="572" spans="1:243" ht="15.6">
      <c r="A572" s="170">
        <f>A571+1</f>
        <v>141</v>
      </c>
      <c r="B572" s="327">
        <v>323</v>
      </c>
      <c r="C572" s="287"/>
      <c r="D572" s="907">
        <v>0</v>
      </c>
      <c r="E572" s="907">
        <v>0</v>
      </c>
      <c r="F572" s="907">
        <v>0</v>
      </c>
      <c r="G572" s="907">
        <v>0</v>
      </c>
      <c r="H572" s="907">
        <v>0</v>
      </c>
      <c r="I572" s="907">
        <v>0</v>
      </c>
      <c r="J572" s="907">
        <v>0</v>
      </c>
      <c r="K572" s="907">
        <v>0</v>
      </c>
      <c r="L572" s="907">
        <v>0</v>
      </c>
      <c r="M572" s="907">
        <v>0</v>
      </c>
      <c r="N572" s="907">
        <v>0</v>
      </c>
      <c r="O572" s="907">
        <v>0</v>
      </c>
      <c r="P572" s="339"/>
      <c r="S572" s="277"/>
      <c r="T572" s="277"/>
      <c r="U572" s="277"/>
      <c r="V572" s="277"/>
      <c r="W572" s="277"/>
      <c r="X572" s="277"/>
      <c r="Y572" s="277"/>
      <c r="Z572" s="277"/>
      <c r="AA572" s="277"/>
      <c r="AB572" s="277"/>
      <c r="AC572" s="277"/>
      <c r="AD572" s="277"/>
      <c r="AE572" s="277"/>
      <c r="AF572" s="277"/>
      <c r="AG572" s="277"/>
      <c r="AH572" s="277"/>
      <c r="AI572" s="277"/>
      <c r="AJ572" s="216"/>
      <c r="AK572" s="304"/>
      <c r="AL572" s="303"/>
      <c r="AM572" s="216"/>
      <c r="AN572" s="304"/>
      <c r="AO572" s="277"/>
      <c r="AP572" s="303"/>
      <c r="AQ572" s="303"/>
      <c r="AR572" s="304"/>
      <c r="AS572" s="303"/>
      <c r="AT572" s="303"/>
      <c r="AU572" s="303"/>
      <c r="AV572" s="303"/>
      <c r="AW572" s="213"/>
      <c r="AX572" s="213"/>
      <c r="AY572" s="213"/>
      <c r="AZ572" s="213"/>
      <c r="BA572" s="213"/>
      <c r="BB572" s="213"/>
      <c r="BC572" s="213"/>
      <c r="BD572" s="213"/>
      <c r="BE572" s="213"/>
      <c r="BF572" s="213"/>
      <c r="BG572" s="213"/>
      <c r="BH572" s="213"/>
      <c r="BI572" s="213"/>
      <c r="BJ572" s="213"/>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row>
    <row r="573" spans="1:243" ht="15.6">
      <c r="A573" s="170">
        <f>A572+1</f>
        <v>142</v>
      </c>
      <c r="B573" s="327">
        <v>324</v>
      </c>
      <c r="C573" s="287"/>
      <c r="D573" s="907">
        <v>0</v>
      </c>
      <c r="E573" s="907">
        <v>0</v>
      </c>
      <c r="F573" s="907">
        <v>0</v>
      </c>
      <c r="G573" s="907">
        <v>0</v>
      </c>
      <c r="H573" s="907">
        <v>0</v>
      </c>
      <c r="I573" s="907">
        <v>0</v>
      </c>
      <c r="J573" s="907">
        <v>0</v>
      </c>
      <c r="K573" s="907">
        <v>0</v>
      </c>
      <c r="L573" s="907">
        <v>0</v>
      </c>
      <c r="M573" s="907">
        <v>0</v>
      </c>
      <c r="N573" s="907">
        <v>0</v>
      </c>
      <c r="O573" s="907">
        <v>0</v>
      </c>
      <c r="P573" s="339"/>
      <c r="S573" s="277"/>
      <c r="T573" s="277"/>
      <c r="U573" s="277"/>
      <c r="V573" s="277"/>
      <c r="W573" s="277"/>
      <c r="X573" s="277"/>
      <c r="Y573" s="277"/>
      <c r="Z573" s="277"/>
      <c r="AA573" s="277"/>
      <c r="AB573" s="277"/>
      <c r="AC573" s="277"/>
      <c r="AD573" s="277"/>
      <c r="AE573" s="277"/>
      <c r="AF573" s="277"/>
      <c r="AG573" s="277"/>
      <c r="AH573" s="277"/>
      <c r="AI573" s="277"/>
      <c r="AJ573" s="216"/>
      <c r="AK573" s="304"/>
      <c r="AL573" s="303"/>
      <c r="AM573" s="216"/>
      <c r="AN573" s="304"/>
      <c r="AO573" s="277"/>
      <c r="AP573" s="303"/>
      <c r="AQ573" s="303"/>
      <c r="AR573" s="304"/>
      <c r="AS573" s="303"/>
      <c r="AT573" s="303"/>
      <c r="AU573" s="303"/>
      <c r="AV573" s="303"/>
      <c r="AW573" s="213"/>
      <c r="AX573" s="213"/>
      <c r="AY573" s="213"/>
      <c r="AZ573" s="213"/>
      <c r="BA573" s="213"/>
      <c r="BB573" s="213"/>
      <c r="BC573" s="213"/>
      <c r="BD573" s="213"/>
      <c r="BE573" s="213"/>
      <c r="BF573" s="213"/>
      <c r="BG573" s="213"/>
      <c r="BH573" s="213"/>
      <c r="BI573" s="213"/>
      <c r="BJ573" s="21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row>
    <row r="574" spans="1:243" ht="15.6">
      <c r="A574" s="170">
        <f>A573+1</f>
        <v>143</v>
      </c>
      <c r="B574" s="327">
        <v>325</v>
      </c>
      <c r="C574" s="287"/>
      <c r="D574" s="907">
        <v>0</v>
      </c>
      <c r="E574" s="907">
        <v>0</v>
      </c>
      <c r="F574" s="907">
        <v>0</v>
      </c>
      <c r="G574" s="907">
        <v>0</v>
      </c>
      <c r="H574" s="907">
        <v>0</v>
      </c>
      <c r="I574" s="907">
        <v>0</v>
      </c>
      <c r="J574" s="907">
        <v>0</v>
      </c>
      <c r="K574" s="907">
        <v>0</v>
      </c>
      <c r="L574" s="907">
        <v>0</v>
      </c>
      <c r="M574" s="907">
        <v>0</v>
      </c>
      <c r="N574" s="907">
        <v>0</v>
      </c>
      <c r="O574" s="907">
        <v>0</v>
      </c>
      <c r="P574" s="339"/>
      <c r="S574" s="277"/>
      <c r="T574" s="277"/>
      <c r="U574" s="277"/>
      <c r="V574" s="277"/>
      <c r="W574" s="277"/>
      <c r="X574" s="277"/>
      <c r="Y574" s="277"/>
      <c r="Z574" s="277"/>
      <c r="AA574" s="277"/>
      <c r="AB574" s="277"/>
      <c r="AC574" s="277"/>
      <c r="AD574" s="277"/>
      <c r="AE574" s="277"/>
      <c r="AF574" s="277"/>
      <c r="AG574" s="277"/>
      <c r="AH574" s="277"/>
      <c r="AI574" s="277"/>
      <c r="AJ574" s="216"/>
      <c r="AK574" s="304"/>
      <c r="AL574" s="303"/>
      <c r="AM574" s="216"/>
      <c r="AN574" s="304"/>
      <c r="AO574" s="277"/>
      <c r="AP574" s="303"/>
      <c r="AQ574" s="303"/>
      <c r="AR574" s="304"/>
      <c r="AS574" s="303"/>
      <c r="AT574" s="303"/>
      <c r="AU574" s="303"/>
      <c r="AV574" s="303"/>
      <c r="AW574" s="213"/>
      <c r="AX574" s="213"/>
      <c r="AY574" s="213"/>
      <c r="AZ574" s="213"/>
      <c r="BA574" s="213"/>
      <c r="BB574" s="213"/>
      <c r="BC574" s="213"/>
      <c r="BD574" s="213"/>
      <c r="BE574" s="213"/>
      <c r="BF574" s="213"/>
      <c r="BG574" s="213"/>
      <c r="BH574" s="213"/>
      <c r="BI574" s="213"/>
      <c r="BJ574" s="213"/>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row>
    <row r="575" spans="1:243" ht="15.6">
      <c r="A575" s="170"/>
      <c r="B575" s="327"/>
      <c r="C575" s="287"/>
      <c r="D575" s="328"/>
      <c r="E575" s="328"/>
      <c r="F575" s="328"/>
      <c r="G575" s="328"/>
      <c r="H575" s="328"/>
      <c r="I575" s="328"/>
      <c r="J575" s="328"/>
      <c r="K575" s="328"/>
      <c r="L575" s="328"/>
      <c r="M575" s="328"/>
      <c r="N575" s="328"/>
      <c r="O575" s="328"/>
      <c r="P575" s="339"/>
      <c r="S575" s="277"/>
      <c r="T575" s="277"/>
      <c r="U575" s="277"/>
      <c r="V575" s="277"/>
      <c r="W575" s="277"/>
      <c r="X575" s="277"/>
      <c r="Y575" s="277"/>
      <c r="Z575" s="277"/>
      <c r="AA575" s="277"/>
      <c r="AB575" s="277"/>
      <c r="AC575" s="277"/>
      <c r="AD575" s="277"/>
      <c r="AE575" s="277"/>
      <c r="AF575" s="277"/>
      <c r="AG575" s="277"/>
      <c r="AH575" s="277"/>
      <c r="AI575" s="277"/>
      <c r="AJ575" s="216"/>
      <c r="AK575" s="304"/>
      <c r="AL575" s="303"/>
      <c r="AM575" s="216"/>
      <c r="AN575" s="304"/>
      <c r="AO575" s="277"/>
      <c r="AP575" s="303"/>
      <c r="AQ575" s="303"/>
      <c r="AR575" s="304"/>
      <c r="AS575" s="303"/>
      <c r="AT575" s="303"/>
      <c r="AU575" s="303"/>
      <c r="AV575" s="303"/>
      <c r="AW575" s="213"/>
      <c r="AX575" s="213"/>
      <c r="AY575" s="213"/>
      <c r="AZ575" s="213"/>
      <c r="BA575" s="213"/>
      <c r="BB575" s="213"/>
      <c r="BC575" s="213"/>
      <c r="BD575" s="213"/>
      <c r="BE575" s="213"/>
      <c r="BF575" s="213"/>
      <c r="BG575" s="213"/>
      <c r="BH575" s="213"/>
      <c r="BI575" s="213"/>
      <c r="BJ575" s="213"/>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row>
    <row r="576" spans="1:243" ht="18.600000000000001">
      <c r="A576" s="322"/>
      <c r="B576" s="322" t="s">
        <v>928</v>
      </c>
      <c r="C576" s="335" t="s">
        <v>729</v>
      </c>
      <c r="D576" s="358" t="s">
        <v>716</v>
      </c>
      <c r="E576" s="358" t="s">
        <v>717</v>
      </c>
      <c r="F576" s="358" t="s">
        <v>718</v>
      </c>
      <c r="G576" s="358" t="s">
        <v>719</v>
      </c>
      <c r="H576" s="358" t="s">
        <v>720</v>
      </c>
      <c r="I576" s="358" t="s">
        <v>721</v>
      </c>
      <c r="J576" s="358" t="s">
        <v>722</v>
      </c>
      <c r="K576" s="358" t="s">
        <v>723</v>
      </c>
      <c r="L576" s="358" t="s">
        <v>724</v>
      </c>
      <c r="M576" s="358" t="s">
        <v>725</v>
      </c>
      <c r="N576" s="358" t="s">
        <v>726</v>
      </c>
      <c r="O576" s="358" t="s">
        <v>715</v>
      </c>
      <c r="P576" s="360" t="s">
        <v>468</v>
      </c>
      <c r="S576" s="277"/>
      <c r="T576" s="277"/>
      <c r="U576" s="277"/>
      <c r="V576" s="277"/>
      <c r="W576" s="277"/>
      <c r="X576" s="277"/>
      <c r="Y576" s="277"/>
      <c r="Z576" s="277"/>
      <c r="AA576" s="277"/>
      <c r="AB576" s="277"/>
      <c r="AC576" s="277"/>
      <c r="AD576" s="277"/>
      <c r="AE576" s="277"/>
      <c r="AF576" s="277"/>
      <c r="AG576" s="277"/>
      <c r="AH576" s="277"/>
      <c r="AI576" s="277"/>
      <c r="AJ576" s="216"/>
      <c r="AK576" s="304"/>
      <c r="AL576" s="303"/>
      <c r="AM576" s="216"/>
      <c r="AN576" s="304"/>
      <c r="AO576" s="277"/>
      <c r="AP576" s="303"/>
      <c r="AQ576" s="303"/>
      <c r="AR576" s="304"/>
      <c r="AS576" s="303"/>
      <c r="AT576" s="303"/>
      <c r="AU576" s="303"/>
      <c r="AV576" s="303"/>
      <c r="AW576" s="213"/>
      <c r="AX576" s="213"/>
      <c r="AY576" s="213"/>
      <c r="AZ576" s="213"/>
      <c r="BA576" s="213"/>
      <c r="BB576" s="213"/>
      <c r="BC576" s="213"/>
      <c r="BD576" s="213"/>
      <c r="BE576" s="213"/>
      <c r="BF576" s="213"/>
      <c r="BG576" s="213"/>
      <c r="BH576" s="213"/>
      <c r="BI576" s="213"/>
      <c r="BJ576" s="213"/>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row>
    <row r="577" spans="1:243" ht="15.6">
      <c r="A577" s="170">
        <f>A574+1</f>
        <v>144</v>
      </c>
      <c r="B577" s="327">
        <f>B570</f>
        <v>321</v>
      </c>
      <c r="C577" s="909"/>
      <c r="D577" s="603">
        <f t="shared" ref="D577:O581" si="129">D570*$C577/100/12</f>
        <v>0</v>
      </c>
      <c r="E577" s="603">
        <f t="shared" si="129"/>
        <v>0</v>
      </c>
      <c r="F577" s="603">
        <f t="shared" si="129"/>
        <v>0</v>
      </c>
      <c r="G577" s="603">
        <f t="shared" si="129"/>
        <v>0</v>
      </c>
      <c r="H577" s="603">
        <f t="shared" si="129"/>
        <v>0</v>
      </c>
      <c r="I577" s="603">
        <f t="shared" si="129"/>
        <v>0</v>
      </c>
      <c r="J577" s="603">
        <f t="shared" si="129"/>
        <v>0</v>
      </c>
      <c r="K577" s="603">
        <f t="shared" si="129"/>
        <v>0</v>
      </c>
      <c r="L577" s="603">
        <f t="shared" si="129"/>
        <v>0</v>
      </c>
      <c r="M577" s="603">
        <f t="shared" si="129"/>
        <v>0</v>
      </c>
      <c r="N577" s="603">
        <f t="shared" si="129"/>
        <v>0</v>
      </c>
      <c r="O577" s="603">
        <f t="shared" si="129"/>
        <v>0</v>
      </c>
      <c r="P577" s="333">
        <f>SUM(D577:O577)</f>
        <v>0</v>
      </c>
      <c r="S577" s="277"/>
      <c r="T577" s="277"/>
      <c r="U577" s="277"/>
      <c r="V577" s="277"/>
      <c r="W577" s="277"/>
      <c r="X577" s="277"/>
      <c r="Y577" s="277"/>
      <c r="Z577" s="277"/>
      <c r="AA577" s="277"/>
      <c r="AB577" s="277"/>
      <c r="AC577" s="277"/>
      <c r="AD577" s="277"/>
      <c r="AE577" s="277"/>
      <c r="AF577" s="277"/>
      <c r="AG577" s="277"/>
      <c r="AH577" s="277"/>
      <c r="AI577" s="277"/>
      <c r="AJ577" s="216"/>
      <c r="AK577" s="304"/>
      <c r="AL577" s="303"/>
      <c r="AM577" s="216"/>
      <c r="AN577" s="304"/>
      <c r="AO577" s="277"/>
      <c r="AP577" s="303"/>
      <c r="AQ577" s="303"/>
      <c r="AR577" s="304"/>
      <c r="AS577" s="303"/>
      <c r="AT577" s="303"/>
      <c r="AU577" s="303"/>
      <c r="AV577" s="303"/>
      <c r="AW577" s="213"/>
      <c r="AX577" s="213"/>
      <c r="AY577" s="213"/>
      <c r="AZ577" s="213"/>
      <c r="BA577" s="213"/>
      <c r="BB577" s="213"/>
      <c r="BC577" s="213"/>
      <c r="BD577" s="213"/>
      <c r="BE577" s="213"/>
      <c r="BF577" s="213"/>
      <c r="BG577" s="213"/>
      <c r="BH577" s="213"/>
      <c r="BI577" s="213"/>
      <c r="BJ577" s="213"/>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row>
    <row r="578" spans="1:243" ht="15.6">
      <c r="A578" s="170">
        <f>A577+1</f>
        <v>145</v>
      </c>
      <c r="B578" s="327">
        <f>B571</f>
        <v>322</v>
      </c>
      <c r="C578" s="909"/>
      <c r="D578" s="603">
        <f t="shared" si="129"/>
        <v>0</v>
      </c>
      <c r="E578" s="603">
        <f t="shared" si="129"/>
        <v>0</v>
      </c>
      <c r="F578" s="603">
        <f t="shared" si="129"/>
        <v>0</v>
      </c>
      <c r="G578" s="603">
        <f t="shared" si="129"/>
        <v>0</v>
      </c>
      <c r="H578" s="603">
        <f t="shared" si="129"/>
        <v>0</v>
      </c>
      <c r="I578" s="603">
        <f t="shared" si="129"/>
        <v>0</v>
      </c>
      <c r="J578" s="603">
        <f t="shared" si="129"/>
        <v>0</v>
      </c>
      <c r="K578" s="603">
        <f t="shared" si="129"/>
        <v>0</v>
      </c>
      <c r="L578" s="603">
        <f t="shared" si="129"/>
        <v>0</v>
      </c>
      <c r="M578" s="603">
        <f t="shared" si="129"/>
        <v>0</v>
      </c>
      <c r="N578" s="603">
        <f t="shared" si="129"/>
        <v>0</v>
      </c>
      <c r="O578" s="603">
        <f t="shared" si="129"/>
        <v>0</v>
      </c>
      <c r="P578" s="333">
        <f>SUM(D578:O578)</f>
        <v>0</v>
      </c>
      <c r="S578" s="277"/>
      <c r="T578" s="277"/>
      <c r="U578" s="277"/>
      <c r="V578" s="277"/>
      <c r="W578" s="277"/>
      <c r="X578" s="277"/>
      <c r="Y578" s="277"/>
      <c r="Z578" s="277"/>
      <c r="AA578" s="277"/>
      <c r="AB578" s="277"/>
      <c r="AC578" s="277"/>
      <c r="AD578" s="277"/>
      <c r="AE578" s="277"/>
      <c r="AF578" s="277"/>
      <c r="AG578" s="277"/>
      <c r="AH578" s="277"/>
      <c r="AI578" s="277"/>
      <c r="AJ578" s="216"/>
      <c r="AK578" s="304"/>
      <c r="AL578" s="303"/>
      <c r="AM578" s="216"/>
      <c r="AN578" s="304"/>
      <c r="AO578" s="277"/>
      <c r="AP578" s="303"/>
      <c r="AQ578" s="303"/>
      <c r="AR578" s="304"/>
      <c r="AS578" s="303"/>
      <c r="AT578" s="303"/>
      <c r="AU578" s="303"/>
      <c r="AV578" s="303"/>
      <c r="AW578" s="213"/>
      <c r="AX578" s="213"/>
      <c r="AY578" s="213"/>
      <c r="AZ578" s="213"/>
      <c r="BA578" s="213"/>
      <c r="BB578" s="213"/>
      <c r="BC578" s="213"/>
      <c r="BD578" s="213"/>
      <c r="BE578" s="213"/>
      <c r="BF578" s="213"/>
      <c r="BG578" s="213"/>
      <c r="BH578" s="213"/>
      <c r="BI578" s="213"/>
      <c r="BJ578" s="213"/>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row>
    <row r="579" spans="1:243" ht="15.6">
      <c r="A579" s="170">
        <f>A578+1</f>
        <v>146</v>
      </c>
      <c r="B579" s="327">
        <f>B572</f>
        <v>323</v>
      </c>
      <c r="C579" s="909"/>
      <c r="D579" s="603">
        <f t="shared" si="129"/>
        <v>0</v>
      </c>
      <c r="E579" s="603">
        <f t="shared" si="129"/>
        <v>0</v>
      </c>
      <c r="F579" s="603">
        <f t="shared" si="129"/>
        <v>0</v>
      </c>
      <c r="G579" s="603">
        <f t="shared" si="129"/>
        <v>0</v>
      </c>
      <c r="H579" s="603">
        <f t="shared" si="129"/>
        <v>0</v>
      </c>
      <c r="I579" s="603">
        <f t="shared" si="129"/>
        <v>0</v>
      </c>
      <c r="J579" s="603">
        <f t="shared" si="129"/>
        <v>0</v>
      </c>
      <c r="K579" s="603">
        <f t="shared" si="129"/>
        <v>0</v>
      </c>
      <c r="L579" s="603">
        <f t="shared" si="129"/>
        <v>0</v>
      </c>
      <c r="M579" s="603">
        <f t="shared" si="129"/>
        <v>0</v>
      </c>
      <c r="N579" s="603">
        <f t="shared" si="129"/>
        <v>0</v>
      </c>
      <c r="O579" s="603">
        <f t="shared" si="129"/>
        <v>0</v>
      </c>
      <c r="P579" s="333">
        <f>SUM(D579:O579)</f>
        <v>0</v>
      </c>
      <c r="S579" s="277"/>
      <c r="T579" s="277"/>
      <c r="U579" s="277"/>
      <c r="V579" s="277"/>
      <c r="W579" s="277"/>
      <c r="X579" s="277"/>
      <c r="Y579" s="277"/>
      <c r="Z579" s="277"/>
      <c r="AA579" s="277"/>
      <c r="AB579" s="277"/>
      <c r="AC579" s="277"/>
      <c r="AD579" s="277"/>
      <c r="AE579" s="277"/>
      <c r="AF579" s="277"/>
      <c r="AG579" s="277"/>
      <c r="AH579" s="277"/>
      <c r="AI579" s="277"/>
      <c r="AJ579" s="216"/>
      <c r="AK579" s="304"/>
      <c r="AL579" s="303"/>
      <c r="AM579" s="216"/>
      <c r="AN579" s="304"/>
      <c r="AO579" s="277"/>
      <c r="AP579" s="303"/>
      <c r="AQ579" s="303"/>
      <c r="AR579" s="304"/>
      <c r="AS579" s="303"/>
      <c r="AT579" s="303"/>
      <c r="AU579" s="303"/>
      <c r="AV579" s="303"/>
      <c r="AW579" s="213"/>
      <c r="AX579" s="213"/>
      <c r="AY579" s="213"/>
      <c r="AZ579" s="213"/>
      <c r="BA579" s="213"/>
      <c r="BB579" s="213"/>
      <c r="BC579" s="213"/>
      <c r="BD579" s="213"/>
      <c r="BE579" s="213"/>
      <c r="BF579" s="213"/>
      <c r="BG579" s="213"/>
      <c r="BH579" s="213"/>
      <c r="BI579" s="213"/>
      <c r="BJ579" s="213"/>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row>
    <row r="580" spans="1:243" ht="15.6">
      <c r="A580" s="170">
        <f>A579+1</f>
        <v>147</v>
      </c>
      <c r="B580" s="327">
        <f>B573</f>
        <v>324</v>
      </c>
      <c r="C580" s="909"/>
      <c r="D580" s="603">
        <f t="shared" si="129"/>
        <v>0</v>
      </c>
      <c r="E580" s="603">
        <f t="shared" si="129"/>
        <v>0</v>
      </c>
      <c r="F580" s="603">
        <f t="shared" si="129"/>
        <v>0</v>
      </c>
      <c r="G580" s="603">
        <f t="shared" si="129"/>
        <v>0</v>
      </c>
      <c r="H580" s="603">
        <f t="shared" si="129"/>
        <v>0</v>
      </c>
      <c r="I580" s="603">
        <f t="shared" si="129"/>
        <v>0</v>
      </c>
      <c r="J580" s="603">
        <f t="shared" si="129"/>
        <v>0</v>
      </c>
      <c r="K580" s="603">
        <f t="shared" si="129"/>
        <v>0</v>
      </c>
      <c r="L580" s="603">
        <f t="shared" si="129"/>
        <v>0</v>
      </c>
      <c r="M580" s="603">
        <f t="shared" si="129"/>
        <v>0</v>
      </c>
      <c r="N580" s="603">
        <f t="shared" si="129"/>
        <v>0</v>
      </c>
      <c r="O580" s="603">
        <f t="shared" si="129"/>
        <v>0</v>
      </c>
      <c r="P580" s="333">
        <f>SUM(D580:O580)</f>
        <v>0</v>
      </c>
      <c r="S580" s="277"/>
      <c r="T580" s="277"/>
      <c r="U580" s="277"/>
      <c r="V580" s="277"/>
      <c r="W580" s="277"/>
      <c r="X580" s="277"/>
      <c r="Y580" s="277"/>
      <c r="Z580" s="277"/>
      <c r="AA580" s="277"/>
      <c r="AB580" s="277"/>
      <c r="AC580" s="277"/>
      <c r="AD580" s="277"/>
      <c r="AE580" s="277"/>
      <c r="AF580" s="277"/>
      <c r="AG580" s="277"/>
      <c r="AH580" s="277"/>
      <c r="AI580" s="277"/>
      <c r="AJ580" s="216"/>
      <c r="AK580" s="304"/>
      <c r="AL580" s="303"/>
      <c r="AM580" s="216"/>
      <c r="AN580" s="304"/>
      <c r="AO580" s="277"/>
      <c r="AP580" s="303"/>
      <c r="AQ580" s="303"/>
      <c r="AR580" s="304"/>
      <c r="AS580" s="303"/>
      <c r="AT580" s="303"/>
      <c r="AU580" s="303"/>
      <c r="AV580" s="303"/>
      <c r="AW580" s="213"/>
      <c r="AX580" s="213"/>
      <c r="AY580" s="213"/>
      <c r="AZ580" s="213"/>
      <c r="BA580" s="213"/>
      <c r="BB580" s="213"/>
      <c r="BC580" s="213"/>
      <c r="BD580" s="213"/>
      <c r="BE580" s="213"/>
      <c r="BF580" s="213"/>
      <c r="BG580" s="213"/>
      <c r="BH580" s="213"/>
      <c r="BI580" s="213"/>
      <c r="BJ580" s="213"/>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row>
    <row r="581" spans="1:243" ht="15.6">
      <c r="A581" s="170">
        <f>A580+1</f>
        <v>148</v>
      </c>
      <c r="B581" s="327">
        <f>B574</f>
        <v>325</v>
      </c>
      <c r="C581" s="909"/>
      <c r="D581" s="603">
        <f t="shared" si="129"/>
        <v>0</v>
      </c>
      <c r="E581" s="603">
        <f t="shared" si="129"/>
        <v>0</v>
      </c>
      <c r="F581" s="603">
        <f t="shared" si="129"/>
        <v>0</v>
      </c>
      <c r="G581" s="603">
        <f t="shared" si="129"/>
        <v>0</v>
      </c>
      <c r="H581" s="603">
        <f t="shared" si="129"/>
        <v>0</v>
      </c>
      <c r="I581" s="603">
        <f t="shared" si="129"/>
        <v>0</v>
      </c>
      <c r="J581" s="603">
        <f t="shared" si="129"/>
        <v>0</v>
      </c>
      <c r="K581" s="603">
        <f t="shared" si="129"/>
        <v>0</v>
      </c>
      <c r="L581" s="603">
        <f t="shared" si="129"/>
        <v>0</v>
      </c>
      <c r="M581" s="603">
        <f t="shared" si="129"/>
        <v>0</v>
      </c>
      <c r="N581" s="603">
        <f t="shared" si="129"/>
        <v>0</v>
      </c>
      <c r="O581" s="603">
        <f t="shared" si="129"/>
        <v>0</v>
      </c>
      <c r="P581" s="333">
        <f>SUM(D581:O581)</f>
        <v>0</v>
      </c>
      <c r="S581" s="277"/>
      <c r="T581" s="277"/>
      <c r="U581" s="277"/>
      <c r="V581" s="277"/>
      <c r="W581" s="277"/>
      <c r="X581" s="277"/>
      <c r="Y581" s="277"/>
      <c r="Z581" s="277"/>
      <c r="AA581" s="277"/>
      <c r="AB581" s="277"/>
      <c r="AC581" s="277"/>
      <c r="AD581" s="277"/>
      <c r="AE581" s="277"/>
      <c r="AF581" s="277"/>
      <c r="AG581" s="277"/>
      <c r="AH581" s="277"/>
      <c r="AI581" s="277"/>
      <c r="AJ581" s="216"/>
      <c r="AK581" s="304"/>
      <c r="AL581" s="303"/>
      <c r="AM581" s="216"/>
      <c r="AN581" s="304"/>
      <c r="AO581" s="277"/>
      <c r="AP581" s="303"/>
      <c r="AQ581" s="303"/>
      <c r="AR581" s="304"/>
      <c r="AS581" s="303"/>
      <c r="AT581" s="303"/>
      <c r="AU581" s="303"/>
      <c r="AV581" s="303"/>
      <c r="AW581" s="213"/>
      <c r="AX581" s="213"/>
      <c r="AY581" s="213"/>
      <c r="AZ581" s="213"/>
      <c r="BA581" s="213"/>
      <c r="BB581" s="213"/>
      <c r="BC581" s="213"/>
      <c r="BD581" s="213"/>
      <c r="BE581" s="213"/>
      <c r="BF581" s="213"/>
      <c r="BG581" s="213"/>
      <c r="BH581" s="213"/>
      <c r="BI581" s="213"/>
      <c r="BJ581" s="213"/>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row>
    <row r="582" spans="1:243" ht="15.6">
      <c r="A582" s="355"/>
      <c r="B582" s="287"/>
      <c r="C582" s="287"/>
      <c r="D582" s="287"/>
      <c r="E582" s="287"/>
      <c r="F582" s="287"/>
      <c r="G582" s="287"/>
      <c r="H582" s="287"/>
      <c r="I582" s="287"/>
      <c r="J582" s="287"/>
      <c r="K582" s="334"/>
      <c r="L582" s="287"/>
      <c r="M582" s="287"/>
      <c r="N582" s="287"/>
      <c r="O582" s="287"/>
      <c r="P582" s="339"/>
      <c r="S582" s="277"/>
      <c r="T582" s="277"/>
      <c r="U582" s="277"/>
      <c r="V582" s="277"/>
      <c r="W582" s="277"/>
      <c r="X582" s="277"/>
      <c r="Y582" s="277"/>
      <c r="Z582" s="277"/>
      <c r="AA582" s="277"/>
      <c r="AB582" s="277"/>
      <c r="AC582" s="277"/>
      <c r="AD582" s="277"/>
      <c r="AE582" s="277"/>
      <c r="AF582" s="277"/>
      <c r="AG582" s="277"/>
      <c r="AH582" s="277"/>
      <c r="AI582" s="277"/>
      <c r="AJ582" s="216"/>
      <c r="AK582" s="304"/>
      <c r="AL582" s="303"/>
      <c r="AM582" s="216"/>
      <c r="AN582" s="304"/>
      <c r="AO582" s="277"/>
      <c r="AP582" s="303"/>
      <c r="AQ582" s="303"/>
      <c r="AR582" s="304"/>
      <c r="AS582" s="303"/>
      <c r="AT582" s="303"/>
      <c r="AU582" s="303"/>
      <c r="AV582" s="303"/>
      <c r="AW582" s="213"/>
      <c r="AX582" s="213"/>
      <c r="AY582" s="213"/>
      <c r="AZ582" s="213"/>
      <c r="BA582" s="213"/>
      <c r="BB582" s="213"/>
      <c r="BC582" s="213"/>
      <c r="BD582" s="213"/>
      <c r="BE582" s="213"/>
      <c r="BF582" s="213"/>
      <c r="BG582" s="213"/>
      <c r="BH582" s="213"/>
      <c r="BI582" s="213"/>
      <c r="BJ582" s="213"/>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row>
    <row r="583" spans="1:243" ht="18.600000000000001">
      <c r="A583" s="355"/>
      <c r="B583" s="355" t="s">
        <v>1078</v>
      </c>
      <c r="C583" s="334" t="s">
        <v>730</v>
      </c>
      <c r="D583" s="1778" t="s">
        <v>731</v>
      </c>
      <c r="E583" s="1779"/>
      <c r="F583" s="1779"/>
      <c r="G583" s="1779"/>
      <c r="H583" s="1779"/>
      <c r="I583" s="1779"/>
      <c r="J583" s="1779"/>
      <c r="K583" s="1779"/>
      <c r="L583" s="1779"/>
      <c r="M583" s="1779"/>
      <c r="N583" s="1779"/>
      <c r="O583" s="1779"/>
      <c r="P583" s="1779"/>
      <c r="S583" s="277"/>
      <c r="T583" s="277"/>
      <c r="U583" s="277"/>
      <c r="V583" s="277"/>
      <c r="W583" s="277"/>
      <c r="X583" s="277"/>
      <c r="Y583" s="277"/>
      <c r="Z583" s="277"/>
      <c r="AA583" s="277"/>
      <c r="AB583" s="277"/>
      <c r="AC583" s="277"/>
      <c r="AD583" s="277"/>
      <c r="AE583" s="277"/>
      <c r="AF583" s="277"/>
      <c r="AG583" s="277"/>
      <c r="AH583" s="277"/>
      <c r="AI583" s="277"/>
      <c r="AJ583" s="216"/>
      <c r="AK583" s="304"/>
      <c r="AL583" s="303"/>
      <c r="AM583" s="216"/>
      <c r="AN583" s="304"/>
      <c r="AO583" s="277"/>
      <c r="AP583" s="303"/>
      <c r="AQ583" s="303"/>
      <c r="AR583" s="304"/>
      <c r="AS583" s="303"/>
      <c r="AT583" s="303"/>
      <c r="AU583" s="303"/>
      <c r="AV583" s="303"/>
      <c r="AW583" s="213"/>
      <c r="AX583" s="213"/>
      <c r="AY583" s="213"/>
      <c r="AZ583" s="213"/>
      <c r="BA583" s="213"/>
      <c r="BB583" s="213"/>
      <c r="BC583" s="213"/>
      <c r="BD583" s="213"/>
      <c r="BE583" s="213"/>
      <c r="BF583" s="213"/>
      <c r="BG583" s="213"/>
      <c r="BH583" s="213"/>
      <c r="BI583" s="213"/>
      <c r="BJ583" s="21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row>
    <row r="584" spans="1:243" ht="18.600000000000001">
      <c r="A584" s="355"/>
      <c r="B584" s="322" t="s">
        <v>928</v>
      </c>
      <c r="C584" s="335" t="s">
        <v>732</v>
      </c>
      <c r="D584" s="358" t="s">
        <v>716</v>
      </c>
      <c r="E584" s="358" t="s">
        <v>717</v>
      </c>
      <c r="F584" s="358" t="s">
        <v>718</v>
      </c>
      <c r="G584" s="358" t="s">
        <v>719</v>
      </c>
      <c r="H584" s="358" t="s">
        <v>720</v>
      </c>
      <c r="I584" s="358" t="s">
        <v>721</v>
      </c>
      <c r="J584" s="358" t="s">
        <v>722</v>
      </c>
      <c r="K584" s="358" t="s">
        <v>723</v>
      </c>
      <c r="L584" s="358" t="s">
        <v>724</v>
      </c>
      <c r="M584" s="358" t="s">
        <v>725</v>
      </c>
      <c r="N584" s="358" t="s">
        <v>726</v>
      </c>
      <c r="O584" s="358" t="s">
        <v>715</v>
      </c>
      <c r="P584" s="360" t="s">
        <v>628</v>
      </c>
      <c r="S584" s="277"/>
      <c r="T584" s="277"/>
      <c r="U584" s="277"/>
      <c r="V584" s="277"/>
      <c r="W584" s="277"/>
      <c r="X584" s="277"/>
      <c r="Y584" s="277"/>
      <c r="Z584" s="277"/>
      <c r="AA584" s="277"/>
      <c r="AB584" s="277"/>
      <c r="AC584" s="277"/>
      <c r="AD584" s="277"/>
      <c r="AE584" s="277"/>
      <c r="AF584" s="277"/>
      <c r="AG584" s="277"/>
      <c r="AH584" s="277"/>
      <c r="AI584" s="277"/>
      <c r="AJ584" s="216"/>
      <c r="AK584" s="304"/>
      <c r="AL584" s="303"/>
      <c r="AM584" s="216"/>
      <c r="AN584" s="304"/>
      <c r="AO584" s="277"/>
      <c r="AP584" s="303"/>
      <c r="AQ584" s="303"/>
      <c r="AR584" s="304"/>
      <c r="AS584" s="303"/>
      <c r="AT584" s="303"/>
      <c r="AU584" s="303"/>
      <c r="AV584" s="303"/>
      <c r="AW584" s="213"/>
      <c r="AX584" s="213"/>
      <c r="AY584" s="213"/>
      <c r="AZ584" s="213"/>
      <c r="BA584" s="213"/>
      <c r="BB584" s="213"/>
      <c r="BC584" s="213"/>
      <c r="BD584" s="213"/>
      <c r="BE584" s="213"/>
      <c r="BF584" s="213"/>
      <c r="BG584" s="213"/>
      <c r="BH584" s="213"/>
      <c r="BI584" s="213"/>
      <c r="BJ584" s="213"/>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row>
    <row r="585" spans="1:243" ht="15.6">
      <c r="A585" s="170">
        <f>A581+1</f>
        <v>149</v>
      </c>
      <c r="B585" s="327">
        <f>B570</f>
        <v>321</v>
      </c>
      <c r="C585" s="907">
        <v>0</v>
      </c>
      <c r="D585" s="603">
        <f>C585+D577</f>
        <v>0</v>
      </c>
      <c r="E585" s="603">
        <f t="shared" ref="E585:O589" si="130">D585+E577</f>
        <v>0</v>
      </c>
      <c r="F585" s="603">
        <f t="shared" si="130"/>
        <v>0</v>
      </c>
      <c r="G585" s="603">
        <f t="shared" si="130"/>
        <v>0</v>
      </c>
      <c r="H585" s="603">
        <f t="shared" si="130"/>
        <v>0</v>
      </c>
      <c r="I585" s="603">
        <f t="shared" si="130"/>
        <v>0</v>
      </c>
      <c r="J585" s="603">
        <f t="shared" si="130"/>
        <v>0</v>
      </c>
      <c r="K585" s="603">
        <f t="shared" si="130"/>
        <v>0</v>
      </c>
      <c r="L585" s="603">
        <f t="shared" si="130"/>
        <v>0</v>
      </c>
      <c r="M585" s="603">
        <f t="shared" si="130"/>
        <v>0</v>
      </c>
      <c r="N585" s="603">
        <f t="shared" si="130"/>
        <v>0</v>
      </c>
      <c r="O585" s="603">
        <f t="shared" si="130"/>
        <v>0</v>
      </c>
      <c r="P585" s="333">
        <f>O585</f>
        <v>0</v>
      </c>
      <c r="S585" s="277"/>
      <c r="T585" s="277"/>
      <c r="U585" s="277"/>
      <c r="V585" s="277"/>
      <c r="W585" s="277"/>
      <c r="X585" s="277"/>
      <c r="Y585" s="277"/>
      <c r="Z585" s="277"/>
      <c r="AA585" s="277"/>
      <c r="AB585" s="277"/>
      <c r="AC585" s="277"/>
      <c r="AD585" s="277"/>
      <c r="AE585" s="277"/>
      <c r="AF585" s="277"/>
      <c r="AG585" s="277"/>
      <c r="AH585" s="277"/>
      <c r="AI585" s="277"/>
      <c r="AJ585" s="216"/>
      <c r="AK585" s="304"/>
      <c r="AL585" s="303"/>
      <c r="AM585" s="216"/>
      <c r="AN585" s="304"/>
      <c r="AO585" s="277"/>
      <c r="AP585" s="303"/>
      <c r="AQ585" s="303"/>
      <c r="AR585" s="304"/>
      <c r="AS585" s="303"/>
      <c r="AT585" s="303"/>
      <c r="AU585" s="303"/>
      <c r="AV585" s="303"/>
      <c r="AW585" s="213"/>
      <c r="AX585" s="213"/>
      <c r="AY585" s="213"/>
      <c r="AZ585" s="213"/>
      <c r="BA585" s="213"/>
      <c r="BB585" s="213"/>
      <c r="BC585" s="213"/>
      <c r="BD585" s="213"/>
      <c r="BE585" s="213"/>
      <c r="BF585" s="213"/>
      <c r="BG585" s="213"/>
      <c r="BH585" s="213"/>
      <c r="BI585" s="213"/>
      <c r="BJ585" s="213"/>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row>
    <row r="586" spans="1:243" ht="15.6">
      <c r="A586" s="170">
        <f>A585+1</f>
        <v>150</v>
      </c>
      <c r="B586" s="327">
        <f>B571</f>
        <v>322</v>
      </c>
      <c r="C586" s="907">
        <v>0</v>
      </c>
      <c r="D586" s="603">
        <f>C586+D578</f>
        <v>0</v>
      </c>
      <c r="E586" s="603">
        <f t="shared" si="130"/>
        <v>0</v>
      </c>
      <c r="F586" s="603">
        <f t="shared" si="130"/>
        <v>0</v>
      </c>
      <c r="G586" s="603">
        <f t="shared" si="130"/>
        <v>0</v>
      </c>
      <c r="H586" s="603">
        <f t="shared" si="130"/>
        <v>0</v>
      </c>
      <c r="I586" s="603">
        <f t="shared" si="130"/>
        <v>0</v>
      </c>
      <c r="J586" s="603">
        <f t="shared" si="130"/>
        <v>0</v>
      </c>
      <c r="K586" s="603">
        <f t="shared" si="130"/>
        <v>0</v>
      </c>
      <c r="L586" s="603">
        <f t="shared" si="130"/>
        <v>0</v>
      </c>
      <c r="M586" s="603">
        <f t="shared" si="130"/>
        <v>0</v>
      </c>
      <c r="N586" s="603">
        <f t="shared" si="130"/>
        <v>0</v>
      </c>
      <c r="O586" s="603">
        <f t="shared" si="130"/>
        <v>0</v>
      </c>
      <c r="P586" s="333">
        <f>O586</f>
        <v>0</v>
      </c>
      <c r="S586" s="277"/>
      <c r="T586" s="277"/>
      <c r="U586" s="277"/>
      <c r="V586" s="277"/>
      <c r="W586" s="277"/>
      <c r="X586" s="277"/>
      <c r="Y586" s="277"/>
      <c r="Z586" s="277"/>
      <c r="AA586" s="277"/>
      <c r="AB586" s="277"/>
      <c r="AC586" s="277"/>
      <c r="AD586" s="277"/>
      <c r="AE586" s="277"/>
      <c r="AF586" s="277"/>
      <c r="AG586" s="277"/>
      <c r="AH586" s="277"/>
      <c r="AI586" s="277"/>
      <c r="AJ586" s="216"/>
      <c r="AK586" s="304"/>
      <c r="AL586" s="303"/>
      <c r="AM586" s="216"/>
      <c r="AN586" s="304"/>
      <c r="AO586" s="277"/>
      <c r="AP586" s="303"/>
      <c r="AQ586" s="303"/>
      <c r="AR586" s="304"/>
      <c r="AS586" s="303"/>
      <c r="AT586" s="303"/>
      <c r="AU586" s="303"/>
      <c r="AV586" s="303"/>
      <c r="AW586" s="213"/>
      <c r="AX586" s="213"/>
      <c r="AY586" s="213"/>
      <c r="AZ586" s="213"/>
      <c r="BA586" s="213"/>
      <c r="BB586" s="213"/>
      <c r="BC586" s="213"/>
      <c r="BD586" s="213"/>
      <c r="BE586" s="213"/>
      <c r="BF586" s="213"/>
      <c r="BG586" s="213"/>
      <c r="BH586" s="213"/>
      <c r="BI586" s="213"/>
      <c r="BJ586" s="213"/>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row>
    <row r="587" spans="1:243" ht="15.6">
      <c r="A587" s="170">
        <f>A586+1</f>
        <v>151</v>
      </c>
      <c r="B587" s="327">
        <f>B572</f>
        <v>323</v>
      </c>
      <c r="C587" s="907">
        <v>0</v>
      </c>
      <c r="D587" s="603">
        <f>C587+D579</f>
        <v>0</v>
      </c>
      <c r="E587" s="603">
        <f t="shared" si="130"/>
        <v>0</v>
      </c>
      <c r="F587" s="603">
        <f t="shared" si="130"/>
        <v>0</v>
      </c>
      <c r="G587" s="603">
        <f t="shared" si="130"/>
        <v>0</v>
      </c>
      <c r="H587" s="603">
        <f t="shared" si="130"/>
        <v>0</v>
      </c>
      <c r="I587" s="603">
        <f t="shared" si="130"/>
        <v>0</v>
      </c>
      <c r="J587" s="603">
        <f t="shared" si="130"/>
        <v>0</v>
      </c>
      <c r="K587" s="603">
        <f t="shared" si="130"/>
        <v>0</v>
      </c>
      <c r="L587" s="603">
        <f t="shared" si="130"/>
        <v>0</v>
      </c>
      <c r="M587" s="603">
        <f t="shared" si="130"/>
        <v>0</v>
      </c>
      <c r="N587" s="603">
        <f t="shared" si="130"/>
        <v>0</v>
      </c>
      <c r="O587" s="603">
        <f t="shared" si="130"/>
        <v>0</v>
      </c>
      <c r="P587" s="333">
        <f>O587</f>
        <v>0</v>
      </c>
      <c r="S587" s="277"/>
      <c r="T587" s="277"/>
      <c r="U587" s="277"/>
      <c r="V587" s="277"/>
      <c r="W587" s="277"/>
      <c r="X587" s="277"/>
      <c r="Y587" s="277"/>
      <c r="Z587" s="277"/>
      <c r="AA587" s="277"/>
      <c r="AB587" s="277"/>
      <c r="AC587" s="277"/>
      <c r="AD587" s="277"/>
      <c r="AE587" s="277"/>
      <c r="AF587" s="277"/>
      <c r="AG587" s="277"/>
      <c r="AH587" s="277"/>
      <c r="AI587" s="277"/>
      <c r="AJ587" s="216"/>
      <c r="AK587" s="304"/>
      <c r="AL587" s="303"/>
      <c r="AM587" s="216"/>
      <c r="AN587" s="304"/>
      <c r="AO587" s="277"/>
      <c r="AP587" s="303"/>
      <c r="AQ587" s="303"/>
      <c r="AR587" s="304"/>
      <c r="AS587" s="303"/>
      <c r="AT587" s="303"/>
      <c r="AU587" s="303"/>
      <c r="AV587" s="303"/>
      <c r="AW587" s="213"/>
      <c r="AX587" s="213"/>
      <c r="AY587" s="213"/>
      <c r="AZ587" s="213"/>
      <c r="BA587" s="213"/>
      <c r="BB587" s="213"/>
      <c r="BC587" s="213"/>
      <c r="BD587" s="213"/>
      <c r="BE587" s="213"/>
      <c r="BF587" s="213"/>
      <c r="BG587" s="213"/>
      <c r="BH587" s="213"/>
      <c r="BI587" s="213"/>
      <c r="BJ587" s="213"/>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row>
    <row r="588" spans="1:243" ht="15.6">
      <c r="A588" s="170">
        <f>A587+1</f>
        <v>152</v>
      </c>
      <c r="B588" s="327">
        <f>B573</f>
        <v>324</v>
      </c>
      <c r="C588" s="907">
        <v>0</v>
      </c>
      <c r="D588" s="603">
        <f>C588+D580</f>
        <v>0</v>
      </c>
      <c r="E588" s="603">
        <f t="shared" si="130"/>
        <v>0</v>
      </c>
      <c r="F588" s="603">
        <f t="shared" si="130"/>
        <v>0</v>
      </c>
      <c r="G588" s="603">
        <f t="shared" si="130"/>
        <v>0</v>
      </c>
      <c r="H588" s="603">
        <f t="shared" si="130"/>
        <v>0</v>
      </c>
      <c r="I588" s="603">
        <f t="shared" si="130"/>
        <v>0</v>
      </c>
      <c r="J588" s="603">
        <f t="shared" si="130"/>
        <v>0</v>
      </c>
      <c r="K588" s="603">
        <f t="shared" si="130"/>
        <v>0</v>
      </c>
      <c r="L588" s="603">
        <f t="shared" si="130"/>
        <v>0</v>
      </c>
      <c r="M588" s="603">
        <f t="shared" si="130"/>
        <v>0</v>
      </c>
      <c r="N588" s="603">
        <f t="shared" si="130"/>
        <v>0</v>
      </c>
      <c r="O588" s="603">
        <f t="shared" si="130"/>
        <v>0</v>
      </c>
      <c r="P588" s="333">
        <f>O588</f>
        <v>0</v>
      </c>
      <c r="S588" s="277"/>
      <c r="T588" s="277"/>
      <c r="U588" s="277"/>
      <c r="V588" s="277"/>
      <c r="W588" s="277"/>
      <c r="X588" s="277"/>
      <c r="Y588" s="277"/>
      <c r="Z588" s="277"/>
      <c r="AA588" s="277"/>
      <c r="AB588" s="277"/>
      <c r="AC588" s="277"/>
      <c r="AD588" s="277"/>
      <c r="AE588" s="277"/>
      <c r="AF588" s="277"/>
      <c r="AG588" s="277"/>
      <c r="AH588" s="277"/>
      <c r="AI588" s="277"/>
      <c r="AJ588" s="216"/>
      <c r="AK588" s="304"/>
      <c r="AL588" s="303"/>
      <c r="AM588" s="216"/>
      <c r="AN588" s="304"/>
      <c r="AO588" s="277"/>
      <c r="AP588" s="303"/>
      <c r="AQ588" s="303"/>
      <c r="AR588" s="304"/>
      <c r="AS588" s="303"/>
      <c r="AT588" s="303"/>
      <c r="AU588" s="303"/>
      <c r="AV588" s="303"/>
      <c r="AW588" s="213"/>
      <c r="AX588" s="213"/>
      <c r="AY588" s="213"/>
      <c r="AZ588" s="213"/>
      <c r="BA588" s="213"/>
      <c r="BB588" s="213"/>
      <c r="BC588" s="213"/>
      <c r="BD588" s="213"/>
      <c r="BE588" s="213"/>
      <c r="BF588" s="213"/>
      <c r="BG588" s="213"/>
      <c r="BH588" s="213"/>
      <c r="BI588" s="213"/>
      <c r="BJ588" s="213"/>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row>
    <row r="589" spans="1:243" ht="15.6">
      <c r="A589" s="170">
        <f>A588+1</f>
        <v>153</v>
      </c>
      <c r="B589" s="327">
        <f>B574</f>
        <v>325</v>
      </c>
      <c r="C589" s="907">
        <v>0</v>
      </c>
      <c r="D589" s="603">
        <f>C589+D581</f>
        <v>0</v>
      </c>
      <c r="E589" s="603">
        <f t="shared" si="130"/>
        <v>0</v>
      </c>
      <c r="F589" s="603">
        <f t="shared" si="130"/>
        <v>0</v>
      </c>
      <c r="G589" s="603">
        <f t="shared" si="130"/>
        <v>0</v>
      </c>
      <c r="H589" s="603">
        <f t="shared" si="130"/>
        <v>0</v>
      </c>
      <c r="I589" s="603">
        <f t="shared" si="130"/>
        <v>0</v>
      </c>
      <c r="J589" s="603">
        <f t="shared" si="130"/>
        <v>0</v>
      </c>
      <c r="K589" s="603">
        <f t="shared" si="130"/>
        <v>0</v>
      </c>
      <c r="L589" s="603">
        <f t="shared" si="130"/>
        <v>0</v>
      </c>
      <c r="M589" s="603">
        <f t="shared" si="130"/>
        <v>0</v>
      </c>
      <c r="N589" s="603">
        <f t="shared" si="130"/>
        <v>0</v>
      </c>
      <c r="O589" s="603">
        <f t="shared" si="130"/>
        <v>0</v>
      </c>
      <c r="P589" s="333">
        <f>O589</f>
        <v>0</v>
      </c>
      <c r="S589" s="277"/>
      <c r="T589" s="277"/>
      <c r="U589" s="277"/>
      <c r="V589" s="277"/>
      <c r="W589" s="277"/>
      <c r="X589" s="277"/>
      <c r="Y589" s="277"/>
      <c r="Z589" s="277"/>
      <c r="AA589" s="277"/>
      <c r="AB589" s="277"/>
      <c r="AC589" s="277"/>
      <c r="AD589" s="277"/>
      <c r="AE589" s="277"/>
      <c r="AF589" s="277"/>
      <c r="AG589" s="277"/>
      <c r="AH589" s="277"/>
      <c r="AI589" s="277"/>
      <c r="AJ589" s="216"/>
      <c r="AK589" s="304"/>
      <c r="AL589" s="303"/>
      <c r="AM589" s="216"/>
      <c r="AN589" s="304"/>
      <c r="AO589" s="277"/>
      <c r="AP589" s="303"/>
      <c r="AQ589" s="303"/>
      <c r="AR589" s="304"/>
      <c r="AS589" s="303"/>
      <c r="AT589" s="303"/>
      <c r="AU589" s="303"/>
      <c r="AV589" s="303"/>
      <c r="AW589" s="213"/>
      <c r="AX589" s="213"/>
      <c r="AY589" s="213"/>
      <c r="AZ589" s="213"/>
      <c r="BA589" s="213"/>
      <c r="BB589" s="213"/>
      <c r="BC589" s="213"/>
      <c r="BD589" s="213"/>
      <c r="BE589" s="213"/>
      <c r="BF589" s="213"/>
      <c r="BG589" s="213"/>
      <c r="BH589" s="213"/>
      <c r="BI589" s="213"/>
      <c r="BJ589" s="213"/>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row>
    <row r="590" spans="1:243" ht="15.6">
      <c r="A590" s="170"/>
      <c r="B590" s="327"/>
      <c r="C590" s="328"/>
      <c r="D590" s="328"/>
      <c r="E590" s="328"/>
      <c r="F590" s="328"/>
      <c r="G590" s="328"/>
      <c r="H590" s="328"/>
      <c r="I590" s="328"/>
      <c r="J590" s="328"/>
      <c r="K590" s="328"/>
      <c r="L590" s="328"/>
      <c r="M590" s="328"/>
      <c r="N590" s="328"/>
      <c r="O590" s="328"/>
      <c r="P590" s="333"/>
      <c r="S590" s="277"/>
      <c r="T590" s="277"/>
      <c r="U590" s="277"/>
      <c r="V590" s="277"/>
      <c r="W590" s="277"/>
      <c r="X590" s="277"/>
      <c r="Y590" s="277"/>
      <c r="Z590" s="277"/>
      <c r="AA590" s="277"/>
      <c r="AB590" s="277"/>
      <c r="AC590" s="277"/>
      <c r="AD590" s="277"/>
      <c r="AE590" s="277"/>
      <c r="AF590" s="277"/>
      <c r="AG590" s="277"/>
      <c r="AH590" s="277"/>
      <c r="AI590" s="277"/>
      <c r="AJ590" s="216"/>
      <c r="AK590" s="304"/>
      <c r="AL590" s="303"/>
      <c r="AM590" s="216"/>
      <c r="AN590" s="304"/>
      <c r="AO590" s="277"/>
      <c r="AP590" s="303"/>
      <c r="AQ590" s="303"/>
      <c r="AR590" s="304"/>
      <c r="AS590" s="303"/>
      <c r="AT590" s="303"/>
      <c r="AU590" s="303"/>
      <c r="AV590" s="303"/>
      <c r="AW590" s="213"/>
      <c r="AX590" s="213"/>
      <c r="AY590" s="213"/>
      <c r="AZ590" s="213"/>
      <c r="BA590" s="213"/>
      <c r="BB590" s="213"/>
      <c r="BC590" s="213"/>
      <c r="BD590" s="213"/>
      <c r="BE590" s="213"/>
      <c r="BF590" s="213"/>
      <c r="BG590" s="213"/>
      <c r="BH590" s="213"/>
      <c r="BI590" s="213"/>
      <c r="BJ590" s="213"/>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row>
    <row r="591" spans="1:243" s="42" customFormat="1" ht="15.6">
      <c r="A591" s="336" t="s">
        <v>713</v>
      </c>
      <c r="B591" s="336"/>
      <c r="C591" s="341" t="s">
        <v>476</v>
      </c>
      <c r="D591" s="287"/>
      <c r="E591" s="287"/>
      <c r="F591" s="287"/>
      <c r="G591" s="287"/>
      <c r="H591" s="287"/>
      <c r="I591" s="287"/>
      <c r="J591" s="287"/>
      <c r="K591" s="334"/>
      <c r="L591" s="287"/>
      <c r="M591" s="287"/>
      <c r="N591" s="287"/>
      <c r="O591" s="287"/>
      <c r="P591" s="339"/>
      <c r="Q591" s="342"/>
      <c r="R591" s="342"/>
      <c r="S591" s="343"/>
      <c r="T591" s="343"/>
      <c r="U591" s="343"/>
      <c r="V591" s="343"/>
      <c r="W591" s="343"/>
      <c r="X591" s="343"/>
      <c r="Y591" s="343"/>
      <c r="Z591" s="343"/>
      <c r="AA591" s="343"/>
      <c r="AB591" s="343"/>
      <c r="AC591" s="343"/>
      <c r="AD591" s="343"/>
      <c r="AE591" s="343"/>
      <c r="AF591" s="343"/>
      <c r="AG591" s="343"/>
      <c r="AH591" s="343"/>
      <c r="AI591" s="343"/>
      <c r="AJ591" s="344"/>
      <c r="AK591" s="345"/>
      <c r="AL591" s="346"/>
      <c r="AM591" s="344"/>
      <c r="AN591" s="345"/>
      <c r="AO591" s="343"/>
      <c r="AP591" s="346"/>
      <c r="AQ591" s="346"/>
      <c r="AR591" s="345"/>
      <c r="AS591" s="346"/>
      <c r="AT591" s="346"/>
      <c r="AU591" s="346"/>
      <c r="AV591" s="346"/>
      <c r="AW591" s="287"/>
      <c r="AX591" s="287"/>
      <c r="AY591" s="287"/>
      <c r="AZ591" s="287"/>
      <c r="BA591" s="287"/>
      <c r="BB591" s="287"/>
      <c r="BC591" s="287"/>
      <c r="BD591" s="287"/>
      <c r="BE591" s="287"/>
      <c r="BF591" s="287"/>
      <c r="BG591" s="287"/>
      <c r="BH591" s="287"/>
      <c r="BI591" s="287"/>
      <c r="BJ591" s="287"/>
    </row>
    <row r="592" spans="1:243" ht="15.6">
      <c r="A592" s="355"/>
      <c r="B592" s="336"/>
      <c r="C592" s="287"/>
      <c r="D592" s="287"/>
      <c r="E592" s="287"/>
      <c r="F592" s="287"/>
      <c r="G592" s="287"/>
      <c r="H592" s="287"/>
      <c r="I592" s="287"/>
      <c r="J592" s="287"/>
      <c r="K592" s="334"/>
      <c r="L592" s="287"/>
      <c r="M592" s="287"/>
      <c r="N592" s="287"/>
      <c r="O592" s="287"/>
      <c r="P592" s="339"/>
      <c r="S592" s="277"/>
      <c r="T592" s="277"/>
      <c r="U592" s="277"/>
      <c r="V592" s="277"/>
      <c r="W592" s="277"/>
      <c r="X592" s="277"/>
      <c r="Y592" s="277"/>
      <c r="Z592" s="277"/>
      <c r="AA592" s="277"/>
      <c r="AB592" s="277"/>
      <c r="AC592" s="277"/>
      <c r="AD592" s="277"/>
      <c r="AE592" s="277"/>
      <c r="AF592" s="277"/>
      <c r="AG592" s="277"/>
      <c r="AH592" s="277"/>
      <c r="AI592" s="277"/>
      <c r="AJ592" s="216"/>
      <c r="AK592" s="304"/>
      <c r="AL592" s="303"/>
      <c r="AM592" s="216"/>
      <c r="AN592" s="304"/>
      <c r="AO592" s="277"/>
      <c r="AP592" s="303"/>
      <c r="AQ592" s="303"/>
      <c r="AR592" s="304"/>
      <c r="AS592" s="303"/>
      <c r="AT592" s="303"/>
      <c r="AU592" s="303"/>
      <c r="AV592" s="303"/>
      <c r="AW592" s="213"/>
      <c r="AX592" s="213"/>
      <c r="AY592" s="213"/>
      <c r="AZ592" s="213"/>
      <c r="BA592" s="213"/>
      <c r="BB592" s="213"/>
      <c r="BC592" s="213"/>
      <c r="BD592" s="213"/>
      <c r="BE592" s="213"/>
      <c r="BF592" s="213"/>
      <c r="BG592" s="213"/>
      <c r="BH592" s="213"/>
      <c r="BI592" s="213"/>
      <c r="BJ592" s="213"/>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row>
    <row r="593" spans="1:243" ht="18.600000000000001">
      <c r="A593" s="355" t="s">
        <v>494</v>
      </c>
      <c r="B593" s="355" t="s">
        <v>1078</v>
      </c>
      <c r="C593" s="334"/>
      <c r="D593" s="1778" t="s">
        <v>714</v>
      </c>
      <c r="E593" s="1779"/>
      <c r="F593" s="1779"/>
      <c r="G593" s="1779"/>
      <c r="H593" s="1779"/>
      <c r="I593" s="1779"/>
      <c r="J593" s="1779"/>
      <c r="K593" s="1779"/>
      <c r="L593" s="1779"/>
      <c r="M593" s="1779"/>
      <c r="N593" s="1779"/>
      <c r="O593" s="1779"/>
      <c r="P593" s="357"/>
      <c r="S593" s="277"/>
      <c r="T593" s="277"/>
      <c r="U593" s="277"/>
      <c r="V593" s="277"/>
      <c r="W593" s="277"/>
      <c r="X593" s="277"/>
      <c r="Y593" s="277"/>
      <c r="Z593" s="277"/>
      <c r="AA593" s="277"/>
      <c r="AB593" s="277"/>
      <c r="AC593" s="277"/>
      <c r="AD593" s="277"/>
      <c r="AE593" s="277"/>
      <c r="AF593" s="277"/>
      <c r="AG593" s="277"/>
      <c r="AH593" s="277"/>
      <c r="AI593" s="277"/>
      <c r="AJ593" s="216"/>
      <c r="AK593" s="304"/>
      <c r="AL593" s="303"/>
      <c r="AM593" s="216"/>
      <c r="AN593" s="304"/>
      <c r="AO593" s="277"/>
      <c r="AP593" s="303"/>
      <c r="AQ593" s="303"/>
      <c r="AR593" s="304"/>
      <c r="AS593" s="303"/>
      <c r="AT593" s="303"/>
      <c r="AU593" s="303"/>
      <c r="AV593" s="303"/>
      <c r="AW593" s="213"/>
      <c r="AX593" s="213"/>
      <c r="AY593" s="213"/>
      <c r="AZ593" s="213"/>
      <c r="BA593" s="213"/>
      <c r="BB593" s="213"/>
      <c r="BC593" s="213"/>
      <c r="BD593" s="213"/>
      <c r="BE593" s="213"/>
      <c r="BF593" s="213"/>
      <c r="BG593" s="213"/>
      <c r="BH593" s="213"/>
      <c r="BI593" s="213"/>
      <c r="BJ593" s="21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row>
    <row r="594" spans="1:243" ht="15.6">
      <c r="A594" s="322" t="s">
        <v>928</v>
      </c>
      <c r="B594" s="322" t="s">
        <v>928</v>
      </c>
      <c r="C594" s="335"/>
      <c r="D594" s="358" t="s">
        <v>715</v>
      </c>
      <c r="E594" s="358" t="s">
        <v>716</v>
      </c>
      <c r="F594" s="358" t="s">
        <v>717</v>
      </c>
      <c r="G594" s="358" t="s">
        <v>718</v>
      </c>
      <c r="H594" s="358" t="s">
        <v>719</v>
      </c>
      <c r="I594" s="358" t="s">
        <v>720</v>
      </c>
      <c r="J594" s="358" t="s">
        <v>721</v>
      </c>
      <c r="K594" s="358" t="s">
        <v>722</v>
      </c>
      <c r="L594" s="358" t="s">
        <v>723</v>
      </c>
      <c r="M594" s="358" t="s">
        <v>724</v>
      </c>
      <c r="N594" s="358" t="s">
        <v>725</v>
      </c>
      <c r="O594" s="358" t="s">
        <v>726</v>
      </c>
      <c r="P594" s="359"/>
      <c r="S594" s="277"/>
      <c r="T594" s="277"/>
      <c r="U594" s="277"/>
      <c r="V594" s="277"/>
      <c r="W594" s="277"/>
      <c r="X594" s="277"/>
      <c r="Y594" s="277"/>
      <c r="Z594" s="277"/>
      <c r="AA594" s="277"/>
      <c r="AB594" s="277"/>
      <c r="AC594" s="277"/>
      <c r="AD594" s="277"/>
      <c r="AE594" s="277"/>
      <c r="AF594" s="277"/>
      <c r="AG594" s="277"/>
      <c r="AH594" s="277"/>
      <c r="AI594" s="277"/>
      <c r="AJ594" s="216"/>
      <c r="AK594" s="304"/>
      <c r="AL594" s="303"/>
      <c r="AM594" s="216"/>
      <c r="AN594" s="304"/>
      <c r="AO594" s="277"/>
      <c r="AP594" s="303"/>
      <c r="AQ594" s="303"/>
      <c r="AR594" s="304"/>
      <c r="AS594" s="303"/>
      <c r="AT594" s="303"/>
      <c r="AU594" s="303"/>
      <c r="AV594" s="303"/>
      <c r="AW594" s="213"/>
      <c r="AX594" s="213"/>
      <c r="AY594" s="213"/>
      <c r="AZ594" s="213"/>
      <c r="BA594" s="213"/>
      <c r="BB594" s="213"/>
      <c r="BC594" s="213"/>
      <c r="BD594" s="213"/>
      <c r="BE594" s="213"/>
      <c r="BF594" s="213"/>
      <c r="BG594" s="213"/>
      <c r="BH594" s="213"/>
      <c r="BI594" s="213"/>
      <c r="BJ594" s="213"/>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row>
    <row r="595" spans="1:243" ht="15.6">
      <c r="A595" s="170">
        <f>A589+1</f>
        <v>154</v>
      </c>
      <c r="B595" s="327">
        <v>344</v>
      </c>
      <c r="C595" s="287"/>
      <c r="D595" s="628"/>
      <c r="E595" s="628"/>
      <c r="F595" s="628"/>
      <c r="G595" s="628"/>
      <c r="H595" s="628"/>
      <c r="I595" s="628"/>
      <c r="J595" s="628"/>
      <c r="K595" s="628"/>
      <c r="L595" s="628"/>
      <c r="M595" s="628"/>
      <c r="N595" s="628"/>
      <c r="O595" s="628"/>
      <c r="P595" s="339"/>
      <c r="S595" s="277"/>
      <c r="T595" s="277"/>
      <c r="U595" s="277"/>
      <c r="V595" s="277"/>
      <c r="W595" s="277"/>
      <c r="X595" s="277"/>
      <c r="Y595" s="277"/>
      <c r="Z595" s="277"/>
      <c r="AA595" s="277"/>
      <c r="AB595" s="277"/>
      <c r="AC595" s="277"/>
      <c r="AD595" s="277"/>
      <c r="AE595" s="277"/>
      <c r="AF595" s="277"/>
      <c r="AG595" s="277"/>
      <c r="AH595" s="277"/>
      <c r="AI595" s="277"/>
      <c r="AJ595" s="216"/>
      <c r="AK595" s="304"/>
      <c r="AL595" s="303"/>
      <c r="AM595" s="216"/>
      <c r="AN595" s="304"/>
      <c r="AO595" s="277"/>
      <c r="AP595" s="303"/>
      <c r="AQ595" s="303"/>
      <c r="AR595" s="304"/>
      <c r="AS595" s="303"/>
      <c r="AT595" s="303"/>
      <c r="AU595" s="303"/>
      <c r="AV595" s="303"/>
      <c r="AW595" s="213"/>
      <c r="AX595" s="213"/>
      <c r="AY595" s="213"/>
      <c r="AZ595" s="213"/>
      <c r="BA595" s="213"/>
      <c r="BB595" s="213"/>
      <c r="BC595" s="213"/>
      <c r="BD595" s="213"/>
      <c r="BE595" s="213"/>
      <c r="BF595" s="213"/>
      <c r="BG595" s="213"/>
      <c r="BH595" s="213"/>
      <c r="BI595" s="213"/>
      <c r="BJ595" s="213"/>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row>
    <row r="596" spans="1:243" ht="15.6">
      <c r="A596" s="170"/>
      <c r="B596" s="336"/>
      <c r="C596" s="287"/>
      <c r="D596" s="287"/>
      <c r="E596" s="287"/>
      <c r="F596" s="287"/>
      <c r="G596" s="287"/>
      <c r="H596" s="287"/>
      <c r="I596" s="287"/>
      <c r="J596" s="287"/>
      <c r="K596" s="334"/>
      <c r="L596" s="287"/>
      <c r="M596" s="287"/>
      <c r="N596" s="287"/>
      <c r="O596" s="287"/>
      <c r="P596" s="339"/>
      <c r="S596" s="277"/>
      <c r="T596" s="277"/>
      <c r="U596" s="277"/>
      <c r="V596" s="277"/>
      <c r="W596" s="277"/>
      <c r="X596" s="277"/>
      <c r="Y596" s="277"/>
      <c r="Z596" s="277"/>
      <c r="AA596" s="277"/>
      <c r="AB596" s="277"/>
      <c r="AC596" s="277"/>
      <c r="AD596" s="277"/>
      <c r="AE596" s="277"/>
      <c r="AF596" s="277"/>
      <c r="AG596" s="277"/>
      <c r="AH596" s="277"/>
      <c r="AI596" s="277"/>
      <c r="AJ596" s="216"/>
      <c r="AK596" s="304"/>
      <c r="AL596" s="303"/>
      <c r="AM596" s="216"/>
      <c r="AN596" s="304"/>
      <c r="AO596" s="277"/>
      <c r="AP596" s="303"/>
      <c r="AQ596" s="303"/>
      <c r="AR596" s="304"/>
      <c r="AS596" s="303"/>
      <c r="AT596" s="303"/>
      <c r="AU596" s="303"/>
      <c r="AV596" s="303"/>
      <c r="AW596" s="213"/>
      <c r="AX596" s="213"/>
      <c r="AY596" s="213"/>
      <c r="AZ596" s="213"/>
      <c r="BA596" s="213"/>
      <c r="BB596" s="213"/>
      <c r="BC596" s="213"/>
      <c r="BD596" s="213"/>
      <c r="BE596" s="213"/>
      <c r="BF596" s="213"/>
      <c r="BG596" s="213"/>
      <c r="BH596" s="213"/>
      <c r="BI596" s="213"/>
      <c r="BJ596" s="213"/>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row>
    <row r="597" spans="1:243" ht="18.600000000000001">
      <c r="A597" s="170"/>
      <c r="B597" s="355" t="s">
        <v>1078</v>
      </c>
      <c r="C597" s="334" t="s">
        <v>727</v>
      </c>
      <c r="D597" s="1778" t="s">
        <v>728</v>
      </c>
      <c r="E597" s="1779"/>
      <c r="F597" s="1779"/>
      <c r="G597" s="1779"/>
      <c r="H597" s="1779"/>
      <c r="I597" s="1779"/>
      <c r="J597" s="1779"/>
      <c r="K597" s="1779"/>
      <c r="L597" s="1779"/>
      <c r="M597" s="1779"/>
      <c r="N597" s="1779"/>
      <c r="O597" s="1779"/>
      <c r="P597" s="1779"/>
      <c r="S597" s="277"/>
      <c r="T597" s="277"/>
      <c r="U597" s="277"/>
      <c r="V597" s="277"/>
      <c r="W597" s="277"/>
      <c r="X597" s="277"/>
      <c r="Y597" s="277"/>
      <c r="Z597" s="277"/>
      <c r="AA597" s="277"/>
      <c r="AB597" s="277"/>
      <c r="AC597" s="277"/>
      <c r="AD597" s="277"/>
      <c r="AE597" s="277"/>
      <c r="AF597" s="277"/>
      <c r="AG597" s="277"/>
      <c r="AH597" s="277"/>
      <c r="AI597" s="277"/>
      <c r="AJ597" s="216"/>
      <c r="AK597" s="304"/>
      <c r="AL597" s="303"/>
      <c r="AM597" s="216"/>
      <c r="AN597" s="304"/>
      <c r="AO597" s="277"/>
      <c r="AP597" s="303"/>
      <c r="AQ597" s="303"/>
      <c r="AR597" s="304"/>
      <c r="AS597" s="303"/>
      <c r="AT597" s="303"/>
      <c r="AU597" s="303"/>
      <c r="AV597" s="303"/>
      <c r="AW597" s="213"/>
      <c r="AX597" s="213"/>
      <c r="AY597" s="213"/>
      <c r="AZ597" s="213"/>
      <c r="BA597" s="213"/>
      <c r="BB597" s="213"/>
      <c r="BC597" s="213"/>
      <c r="BD597" s="213"/>
      <c r="BE597" s="213"/>
      <c r="BF597" s="213"/>
      <c r="BG597" s="213"/>
      <c r="BH597" s="213"/>
      <c r="BI597" s="213"/>
      <c r="BJ597" s="213"/>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row>
    <row r="598" spans="1:243" ht="18.600000000000001">
      <c r="A598" s="170"/>
      <c r="B598" s="322" t="s">
        <v>928</v>
      </c>
      <c r="C598" s="335" t="s">
        <v>729</v>
      </c>
      <c r="D598" s="358" t="s">
        <v>716</v>
      </c>
      <c r="E598" s="358" t="s">
        <v>717</v>
      </c>
      <c r="F598" s="358" t="s">
        <v>718</v>
      </c>
      <c r="G598" s="358" t="s">
        <v>719</v>
      </c>
      <c r="H598" s="358" t="s">
        <v>720</v>
      </c>
      <c r="I598" s="358" t="s">
        <v>721</v>
      </c>
      <c r="J598" s="358" t="s">
        <v>722</v>
      </c>
      <c r="K598" s="358" t="s">
        <v>723</v>
      </c>
      <c r="L598" s="358" t="s">
        <v>724</v>
      </c>
      <c r="M598" s="358" t="s">
        <v>725</v>
      </c>
      <c r="N598" s="358" t="s">
        <v>726</v>
      </c>
      <c r="O598" s="358" t="s">
        <v>715</v>
      </c>
      <c r="P598" s="360" t="s">
        <v>468</v>
      </c>
      <c r="S598" s="277"/>
      <c r="T598" s="277"/>
      <c r="U598" s="277"/>
      <c r="V598" s="277"/>
      <c r="W598" s="277"/>
      <c r="X598" s="277"/>
      <c r="Y598" s="277"/>
      <c r="Z598" s="277"/>
      <c r="AA598" s="277"/>
      <c r="AB598" s="277"/>
      <c r="AC598" s="277"/>
      <c r="AD598" s="277"/>
      <c r="AE598" s="277"/>
      <c r="AF598" s="277"/>
      <c r="AG598" s="277"/>
      <c r="AH598" s="277"/>
      <c r="AI598" s="277"/>
      <c r="AJ598" s="216"/>
      <c r="AK598" s="304"/>
      <c r="AL598" s="303"/>
      <c r="AM598" s="216"/>
      <c r="AN598" s="304"/>
      <c r="AO598" s="277"/>
      <c r="AP598" s="303"/>
      <c r="AQ598" s="303"/>
      <c r="AR598" s="304"/>
      <c r="AS598" s="303"/>
      <c r="AT598" s="303"/>
      <c r="AU598" s="303"/>
      <c r="AV598" s="303"/>
      <c r="AW598" s="213"/>
      <c r="AX598" s="213"/>
      <c r="AY598" s="213"/>
      <c r="AZ598" s="213"/>
      <c r="BA598" s="213"/>
      <c r="BB598" s="213"/>
      <c r="BC598" s="213"/>
      <c r="BD598" s="213"/>
      <c r="BE598" s="213"/>
      <c r="BF598" s="213"/>
      <c r="BG598" s="213"/>
      <c r="BH598" s="213"/>
      <c r="BI598" s="213"/>
      <c r="BJ598" s="213"/>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row>
    <row r="599" spans="1:243" ht="15.6">
      <c r="A599" s="170">
        <f>A595+1</f>
        <v>155</v>
      </c>
      <c r="B599" s="327">
        <f>B595</f>
        <v>344</v>
      </c>
      <c r="C599" s="909"/>
      <c r="D599" s="603">
        <f t="shared" ref="D599:O599" si="131">D595*$C599/100/12</f>
        <v>0</v>
      </c>
      <c r="E599" s="603">
        <f t="shared" si="131"/>
        <v>0</v>
      </c>
      <c r="F599" s="603">
        <f t="shared" si="131"/>
        <v>0</v>
      </c>
      <c r="G599" s="603">
        <f t="shared" si="131"/>
        <v>0</v>
      </c>
      <c r="H599" s="603">
        <f t="shared" si="131"/>
        <v>0</v>
      </c>
      <c r="I599" s="603">
        <f t="shared" si="131"/>
        <v>0</v>
      </c>
      <c r="J599" s="603">
        <f t="shared" si="131"/>
        <v>0</v>
      </c>
      <c r="K599" s="603">
        <f t="shared" si="131"/>
        <v>0</v>
      </c>
      <c r="L599" s="603">
        <f t="shared" si="131"/>
        <v>0</v>
      </c>
      <c r="M599" s="603">
        <f t="shared" si="131"/>
        <v>0</v>
      </c>
      <c r="N599" s="603">
        <f t="shared" si="131"/>
        <v>0</v>
      </c>
      <c r="O599" s="603">
        <f t="shared" si="131"/>
        <v>0</v>
      </c>
      <c r="P599" s="333">
        <f>SUM(D599:O599)</f>
        <v>0</v>
      </c>
      <c r="S599" s="277"/>
      <c r="T599" s="277"/>
      <c r="U599" s="277"/>
      <c r="V599" s="277"/>
      <c r="W599" s="277"/>
      <c r="X599" s="277"/>
      <c r="Y599" s="277"/>
      <c r="Z599" s="277"/>
      <c r="AA599" s="277"/>
      <c r="AB599" s="277"/>
      <c r="AC599" s="277"/>
      <c r="AD599" s="277"/>
      <c r="AE599" s="277"/>
      <c r="AF599" s="277"/>
      <c r="AG599" s="277"/>
      <c r="AH599" s="277"/>
      <c r="AI599" s="277"/>
      <c r="AJ599" s="216"/>
      <c r="AK599" s="304"/>
      <c r="AL599" s="303"/>
      <c r="AM599" s="216"/>
      <c r="AN599" s="304"/>
      <c r="AO599" s="277"/>
      <c r="AP599" s="303"/>
      <c r="AQ599" s="303"/>
      <c r="AR599" s="304"/>
      <c r="AS599" s="303"/>
      <c r="AT599" s="303"/>
      <c r="AU599" s="303"/>
      <c r="AV599" s="303"/>
      <c r="AW599" s="213"/>
      <c r="AX599" s="213"/>
      <c r="AY599" s="213"/>
      <c r="AZ599" s="213"/>
      <c r="BA599" s="213"/>
      <c r="BB599" s="213"/>
      <c r="BC599" s="213"/>
      <c r="BD599" s="213"/>
      <c r="BE599" s="213"/>
      <c r="BF599" s="213"/>
      <c r="BG599" s="213"/>
      <c r="BH599" s="213"/>
      <c r="BI599" s="213"/>
      <c r="BJ599" s="213"/>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row>
    <row r="600" spans="1:243" ht="15.6">
      <c r="A600" s="170"/>
      <c r="B600" s="287"/>
      <c r="C600" s="287"/>
      <c r="D600" s="287"/>
      <c r="E600" s="287"/>
      <c r="F600" s="287"/>
      <c r="G600" s="287"/>
      <c r="H600" s="287"/>
      <c r="I600" s="287"/>
      <c r="J600" s="287"/>
      <c r="K600" s="334"/>
      <c r="L600" s="287"/>
      <c r="M600" s="287"/>
      <c r="N600" s="287"/>
      <c r="O600" s="287"/>
      <c r="P600" s="339"/>
      <c r="S600" s="277"/>
      <c r="T600" s="277"/>
      <c r="U600" s="277"/>
      <c r="V600" s="277"/>
      <c r="W600" s="277"/>
      <c r="X600" s="277"/>
      <c r="Y600" s="277"/>
      <c r="Z600" s="277"/>
      <c r="AA600" s="277"/>
      <c r="AB600" s="277"/>
      <c r="AC600" s="277"/>
      <c r="AD600" s="277"/>
      <c r="AE600" s="277"/>
      <c r="AF600" s="277"/>
      <c r="AG600" s="277"/>
      <c r="AH600" s="277"/>
      <c r="AI600" s="277"/>
      <c r="AJ600" s="216"/>
      <c r="AK600" s="304"/>
      <c r="AL600" s="303"/>
      <c r="AM600" s="216"/>
      <c r="AN600" s="304"/>
      <c r="AO600" s="277"/>
      <c r="AP600" s="303"/>
      <c r="AQ600" s="303"/>
      <c r="AR600" s="304"/>
      <c r="AS600" s="303"/>
      <c r="AT600" s="303"/>
      <c r="AU600" s="303"/>
      <c r="AV600" s="303"/>
      <c r="AW600" s="213"/>
      <c r="AX600" s="213"/>
      <c r="AY600" s="213"/>
      <c r="AZ600" s="213"/>
      <c r="BA600" s="213"/>
      <c r="BB600" s="213"/>
      <c r="BC600" s="213"/>
      <c r="BD600" s="213"/>
      <c r="BE600" s="213"/>
      <c r="BF600" s="213"/>
      <c r="BG600" s="213"/>
      <c r="BH600" s="213"/>
      <c r="BI600" s="213"/>
      <c r="BJ600" s="213"/>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row>
    <row r="601" spans="1:243" ht="18.600000000000001">
      <c r="A601" s="355"/>
      <c r="B601" s="355" t="s">
        <v>1078</v>
      </c>
      <c r="C601" s="334" t="s">
        <v>730</v>
      </c>
      <c r="D601" s="1778" t="s">
        <v>731</v>
      </c>
      <c r="E601" s="1779"/>
      <c r="F601" s="1779"/>
      <c r="G601" s="1779"/>
      <c r="H601" s="1779"/>
      <c r="I601" s="1779"/>
      <c r="J601" s="1779"/>
      <c r="K601" s="1779"/>
      <c r="L601" s="1779"/>
      <c r="M601" s="1779"/>
      <c r="N601" s="1779"/>
      <c r="O601" s="1779"/>
      <c r="P601" s="1779"/>
      <c r="S601" s="277"/>
      <c r="T601" s="277"/>
      <c r="U601" s="277"/>
      <c r="V601" s="277"/>
      <c r="W601" s="277"/>
      <c r="X601" s="277"/>
      <c r="Y601" s="277"/>
      <c r="Z601" s="277"/>
      <c r="AA601" s="277"/>
      <c r="AB601" s="277"/>
      <c r="AC601" s="277"/>
      <c r="AD601" s="277"/>
      <c r="AE601" s="277"/>
      <c r="AF601" s="277"/>
      <c r="AG601" s="277"/>
      <c r="AH601" s="277"/>
      <c r="AI601" s="277"/>
      <c r="AJ601" s="216"/>
      <c r="AK601" s="304"/>
      <c r="AL601" s="303"/>
      <c r="AM601" s="216"/>
      <c r="AN601" s="304"/>
      <c r="AO601" s="277"/>
      <c r="AP601" s="303"/>
      <c r="AQ601" s="303"/>
      <c r="AR601" s="304"/>
      <c r="AS601" s="303"/>
      <c r="AT601" s="303"/>
      <c r="AU601" s="303"/>
      <c r="AV601" s="303"/>
      <c r="AW601" s="213"/>
      <c r="AX601" s="213"/>
      <c r="AY601" s="213"/>
      <c r="AZ601" s="213"/>
      <c r="BA601" s="213"/>
      <c r="BB601" s="213"/>
      <c r="BC601" s="213"/>
      <c r="BD601" s="213"/>
      <c r="BE601" s="213"/>
      <c r="BF601" s="213"/>
      <c r="BG601" s="213"/>
      <c r="BH601" s="213"/>
      <c r="BI601" s="213"/>
      <c r="BJ601" s="213"/>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row>
    <row r="602" spans="1:243" ht="18.600000000000001">
      <c r="A602" s="355"/>
      <c r="B602" s="322" t="s">
        <v>928</v>
      </c>
      <c r="C602" s="335" t="s">
        <v>732</v>
      </c>
      <c r="D602" s="358" t="s">
        <v>716</v>
      </c>
      <c r="E602" s="358" t="s">
        <v>717</v>
      </c>
      <c r="F602" s="358" t="s">
        <v>718</v>
      </c>
      <c r="G602" s="358" t="s">
        <v>719</v>
      </c>
      <c r="H602" s="358" t="s">
        <v>720</v>
      </c>
      <c r="I602" s="358" t="s">
        <v>721</v>
      </c>
      <c r="J602" s="358" t="s">
        <v>722</v>
      </c>
      <c r="K602" s="358" t="s">
        <v>723</v>
      </c>
      <c r="L602" s="358" t="s">
        <v>724</v>
      </c>
      <c r="M602" s="358" t="s">
        <v>725</v>
      </c>
      <c r="N602" s="358" t="s">
        <v>726</v>
      </c>
      <c r="O602" s="358" t="s">
        <v>715</v>
      </c>
      <c r="P602" s="360" t="s">
        <v>628</v>
      </c>
      <c r="S602" s="277"/>
      <c r="T602" s="277"/>
      <c r="U602" s="277"/>
      <c r="V602" s="277"/>
      <c r="W602" s="277"/>
      <c r="X602" s="277"/>
      <c r="Y602" s="277"/>
      <c r="Z602" s="277"/>
      <c r="AA602" s="277"/>
      <c r="AB602" s="277"/>
      <c r="AC602" s="277"/>
      <c r="AD602" s="277"/>
      <c r="AE602" s="277"/>
      <c r="AF602" s="277"/>
      <c r="AG602" s="277"/>
      <c r="AH602" s="277"/>
      <c r="AI602" s="277"/>
      <c r="AJ602" s="216"/>
      <c r="AK602" s="304"/>
      <c r="AL602" s="303"/>
      <c r="AM602" s="216"/>
      <c r="AN602" s="304"/>
      <c r="AO602" s="277"/>
      <c r="AP602" s="303"/>
      <c r="AQ602" s="303"/>
      <c r="AR602" s="304"/>
      <c r="AS602" s="303"/>
      <c r="AT602" s="303"/>
      <c r="AU602" s="303"/>
      <c r="AV602" s="303"/>
      <c r="AW602" s="213"/>
      <c r="AX602" s="213"/>
      <c r="AY602" s="213"/>
      <c r="AZ602" s="213"/>
      <c r="BA602" s="213"/>
      <c r="BB602" s="213"/>
      <c r="BC602" s="213"/>
      <c r="BD602" s="213"/>
      <c r="BE602" s="213"/>
      <c r="BF602" s="213"/>
      <c r="BG602" s="213"/>
      <c r="BH602" s="213"/>
      <c r="BI602" s="213"/>
      <c r="BJ602" s="213"/>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row>
    <row r="603" spans="1:243" ht="15.6">
      <c r="A603" s="170">
        <f>A599+1</f>
        <v>156</v>
      </c>
      <c r="B603" s="327">
        <f>B595</f>
        <v>344</v>
      </c>
      <c r="C603" s="907">
        <v>0</v>
      </c>
      <c r="D603" s="603">
        <f>C603+D599</f>
        <v>0</v>
      </c>
      <c r="E603" s="603">
        <f t="shared" ref="E603:O603" si="132">D603+E599</f>
        <v>0</v>
      </c>
      <c r="F603" s="603">
        <f t="shared" si="132"/>
        <v>0</v>
      </c>
      <c r="G603" s="603">
        <f t="shared" si="132"/>
        <v>0</v>
      </c>
      <c r="H603" s="603">
        <f t="shared" si="132"/>
        <v>0</v>
      </c>
      <c r="I603" s="603">
        <f t="shared" si="132"/>
        <v>0</v>
      </c>
      <c r="J603" s="603">
        <f t="shared" si="132"/>
        <v>0</v>
      </c>
      <c r="K603" s="603">
        <f t="shared" si="132"/>
        <v>0</v>
      </c>
      <c r="L603" s="603">
        <f t="shared" si="132"/>
        <v>0</v>
      </c>
      <c r="M603" s="603">
        <f t="shared" si="132"/>
        <v>0</v>
      </c>
      <c r="N603" s="603">
        <f t="shared" si="132"/>
        <v>0</v>
      </c>
      <c r="O603" s="603">
        <f t="shared" si="132"/>
        <v>0</v>
      </c>
      <c r="P603" s="333">
        <f>O603</f>
        <v>0</v>
      </c>
      <c r="S603" s="277"/>
      <c r="T603" s="277"/>
      <c r="U603" s="277"/>
      <c r="V603" s="277"/>
      <c r="W603" s="277"/>
      <c r="X603" s="277"/>
      <c r="Y603" s="277"/>
      <c r="Z603" s="277"/>
      <c r="AA603" s="277"/>
      <c r="AB603" s="277"/>
      <c r="AC603" s="277"/>
      <c r="AD603" s="277"/>
      <c r="AE603" s="277"/>
      <c r="AF603" s="277"/>
      <c r="AG603" s="277"/>
      <c r="AH603" s="277"/>
      <c r="AI603" s="277"/>
      <c r="AJ603" s="216"/>
      <c r="AK603" s="304"/>
      <c r="AL603" s="303"/>
      <c r="AM603" s="216"/>
      <c r="AN603" s="304"/>
      <c r="AO603" s="277"/>
      <c r="AP603" s="303"/>
      <c r="AQ603" s="303"/>
      <c r="AR603" s="304"/>
      <c r="AS603" s="303"/>
      <c r="AT603" s="303"/>
      <c r="AU603" s="303"/>
      <c r="AV603" s="303"/>
      <c r="AW603" s="213"/>
      <c r="AX603" s="213"/>
      <c r="AY603" s="213"/>
      <c r="AZ603" s="213"/>
      <c r="BA603" s="213"/>
      <c r="BB603" s="213"/>
      <c r="BC603" s="213"/>
      <c r="BD603" s="213"/>
      <c r="BE603" s="213"/>
      <c r="BF603" s="213"/>
      <c r="BG603" s="213"/>
      <c r="BH603" s="213"/>
      <c r="BI603" s="213"/>
      <c r="BJ603" s="21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row>
    <row r="604" spans="1:243" ht="15.6">
      <c r="A604" s="170"/>
      <c r="B604" s="327"/>
      <c r="C604" s="328"/>
      <c r="D604" s="328"/>
      <c r="E604" s="328"/>
      <c r="F604" s="328"/>
      <c r="G604" s="328"/>
      <c r="H604" s="328"/>
      <c r="I604" s="328"/>
      <c r="J604" s="328"/>
      <c r="K604" s="328"/>
      <c r="L604" s="328"/>
      <c r="M604" s="328"/>
      <c r="N604" s="328"/>
      <c r="O604" s="328"/>
      <c r="P604" s="333"/>
      <c r="S604" s="277"/>
      <c r="T604" s="277"/>
      <c r="U604" s="277"/>
      <c r="V604" s="277"/>
      <c r="W604" s="277"/>
      <c r="X604" s="277"/>
      <c r="Y604" s="277"/>
      <c r="Z604" s="277"/>
      <c r="AA604" s="277"/>
      <c r="AB604" s="277"/>
      <c r="AC604" s="277"/>
      <c r="AD604" s="277"/>
      <c r="AE604" s="277"/>
      <c r="AF604" s="277"/>
      <c r="AG604" s="277"/>
      <c r="AH604" s="277"/>
      <c r="AI604" s="277"/>
      <c r="AJ604" s="216"/>
      <c r="AK604" s="304"/>
      <c r="AL604" s="303"/>
      <c r="AM604" s="216"/>
      <c r="AN604" s="304"/>
      <c r="AO604" s="277"/>
      <c r="AP604" s="303"/>
      <c r="AQ604" s="303"/>
      <c r="AR604" s="304"/>
      <c r="AS604" s="303"/>
      <c r="AT604" s="303"/>
      <c r="AU604" s="303"/>
      <c r="AV604" s="303"/>
      <c r="AW604" s="213"/>
      <c r="AX604" s="213"/>
      <c r="AY604" s="213"/>
      <c r="AZ604" s="213"/>
      <c r="BA604" s="213"/>
      <c r="BB604" s="213"/>
      <c r="BC604" s="213"/>
      <c r="BD604" s="213"/>
      <c r="BE604" s="213"/>
      <c r="BF604" s="213"/>
      <c r="BG604" s="213"/>
      <c r="BH604" s="213"/>
      <c r="BI604" s="213"/>
      <c r="BJ604" s="213"/>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row>
    <row r="605" spans="1:243" ht="15.6">
      <c r="A605" s="170"/>
      <c r="B605" s="327"/>
      <c r="C605" s="328"/>
      <c r="D605" s="328"/>
      <c r="E605" s="328"/>
      <c r="F605" s="328"/>
      <c r="G605" s="328"/>
      <c r="H605" s="328"/>
      <c r="I605" s="328"/>
      <c r="J605" s="328"/>
      <c r="K605" s="328"/>
      <c r="L605" s="328"/>
      <c r="M605" s="328"/>
      <c r="N605" s="328"/>
      <c r="O605" s="366" t="s">
        <v>3025</v>
      </c>
      <c r="P605" s="333">
        <f>SUM(P365:P371,P397:P403,P428:P434,P460:P466,P491:P496,P520:P525,P550:P555,P577:P581,P599)</f>
        <v>0</v>
      </c>
      <c r="S605" s="277"/>
      <c r="T605" s="277"/>
      <c r="U605" s="277"/>
      <c r="V605" s="277"/>
      <c r="W605" s="277"/>
      <c r="X605" s="277"/>
      <c r="Y605" s="277"/>
      <c r="Z605" s="277"/>
      <c r="AA605" s="277"/>
      <c r="AB605" s="277"/>
      <c r="AC605" s="277"/>
      <c r="AD605" s="277"/>
      <c r="AE605" s="277"/>
      <c r="AF605" s="277"/>
      <c r="AG605" s="277"/>
      <c r="AH605" s="277"/>
      <c r="AI605" s="277"/>
      <c r="AJ605" s="216"/>
      <c r="AK605" s="304"/>
      <c r="AL605" s="303"/>
      <c r="AM605" s="216"/>
      <c r="AN605" s="304"/>
      <c r="AO605" s="277"/>
      <c r="AP605" s="303"/>
      <c r="AQ605" s="303"/>
      <c r="AR605" s="304"/>
      <c r="AS605" s="303"/>
      <c r="AT605" s="303"/>
      <c r="AU605" s="303"/>
      <c r="AV605" s="303"/>
      <c r="AW605" s="213"/>
      <c r="AX605" s="213"/>
      <c r="AY605" s="213"/>
      <c r="AZ605" s="213"/>
      <c r="BA605" s="213"/>
      <c r="BB605" s="213"/>
      <c r="BC605" s="213"/>
      <c r="BD605" s="213"/>
      <c r="BE605" s="213"/>
      <c r="BF605" s="213"/>
      <c r="BG605" s="213"/>
      <c r="BH605" s="213"/>
      <c r="BI605" s="213"/>
      <c r="BJ605" s="213"/>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row>
    <row r="606" spans="1:243" ht="18.600000000000001">
      <c r="A606" s="170"/>
      <c r="B606" s="327"/>
      <c r="C606" s="328"/>
      <c r="D606" s="328"/>
      <c r="E606" s="328"/>
      <c r="F606" s="328"/>
      <c r="G606" s="328"/>
      <c r="H606" s="328"/>
      <c r="I606" s="328"/>
      <c r="J606" s="328"/>
      <c r="K606" s="328"/>
      <c r="L606" s="328"/>
      <c r="M606" s="328"/>
      <c r="N606" s="328"/>
      <c r="O606" s="366" t="s">
        <v>3026</v>
      </c>
      <c r="P606" s="361"/>
      <c r="S606" s="277"/>
      <c r="T606" s="277"/>
      <c r="U606" s="277"/>
      <c r="V606" s="277"/>
      <c r="W606" s="277"/>
      <c r="X606" s="277"/>
      <c r="Y606" s="277"/>
      <c r="Z606" s="277"/>
      <c r="AA606" s="277"/>
      <c r="AB606" s="277"/>
      <c r="AC606" s="277"/>
      <c r="AD606" s="277"/>
      <c r="AE606" s="277"/>
      <c r="AF606" s="277"/>
      <c r="AG606" s="277"/>
      <c r="AH606" s="277"/>
      <c r="AI606" s="277"/>
      <c r="AJ606" s="216"/>
      <c r="AK606" s="304"/>
      <c r="AL606" s="303"/>
      <c r="AM606" s="216"/>
      <c r="AN606" s="304"/>
      <c r="AO606" s="277"/>
      <c r="AP606" s="303"/>
      <c r="AQ606" s="303"/>
      <c r="AR606" s="304"/>
      <c r="AS606" s="303"/>
      <c r="AT606" s="303"/>
      <c r="AU606" s="303"/>
      <c r="AV606" s="303"/>
      <c r="AW606" s="213"/>
      <c r="AX606" s="213"/>
      <c r="AY606" s="213"/>
      <c r="AZ606" s="213"/>
      <c r="BA606" s="213"/>
      <c r="BB606" s="213"/>
      <c r="BC606" s="213"/>
      <c r="BD606" s="213"/>
      <c r="BE606" s="213"/>
      <c r="BF606" s="213"/>
      <c r="BG606" s="213"/>
      <c r="BH606" s="213"/>
      <c r="BI606" s="213"/>
      <c r="BJ606" s="213"/>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row>
    <row r="607" spans="1:243" ht="18.600000000000001">
      <c r="A607" s="170"/>
      <c r="B607" s="327"/>
      <c r="C607" s="328"/>
      <c r="D607" s="328"/>
      <c r="E607" s="328"/>
      <c r="F607" s="328"/>
      <c r="G607" s="328"/>
      <c r="H607" s="328"/>
      <c r="I607" s="328"/>
      <c r="J607" s="328"/>
      <c r="K607" s="328"/>
      <c r="L607" s="328"/>
      <c r="M607" s="328"/>
      <c r="N607" s="328"/>
      <c r="O607" s="366" t="s">
        <v>3027</v>
      </c>
      <c r="P607" s="333">
        <f>SUM(P605:P606)</f>
        <v>0</v>
      </c>
      <c r="S607" s="277"/>
      <c r="T607" s="277"/>
      <c r="U607" s="277"/>
      <c r="V607" s="277"/>
      <c r="W607" s="277"/>
      <c r="X607" s="277"/>
      <c r="Y607" s="277"/>
      <c r="Z607" s="277"/>
      <c r="AA607" s="277"/>
      <c r="AB607" s="277"/>
      <c r="AC607" s="277"/>
      <c r="AD607" s="277"/>
      <c r="AE607" s="277"/>
      <c r="AF607" s="277"/>
      <c r="AG607" s="277"/>
      <c r="AH607" s="277"/>
      <c r="AI607" s="277"/>
      <c r="AJ607" s="216"/>
      <c r="AK607" s="304"/>
      <c r="AL607" s="303"/>
      <c r="AM607" s="216"/>
      <c r="AN607" s="304"/>
      <c r="AO607" s="277"/>
      <c r="AP607" s="303"/>
      <c r="AQ607" s="303"/>
      <c r="AR607" s="304"/>
      <c r="AS607" s="303"/>
      <c r="AT607" s="303"/>
      <c r="AU607" s="303"/>
      <c r="AV607" s="303"/>
      <c r="AW607" s="213"/>
      <c r="AX607" s="213"/>
      <c r="AY607" s="213"/>
      <c r="AZ607" s="213"/>
      <c r="BA607" s="213"/>
      <c r="BB607" s="213"/>
      <c r="BC607" s="213"/>
      <c r="BD607" s="213"/>
      <c r="BE607" s="213"/>
      <c r="BF607" s="213"/>
      <c r="BG607" s="213"/>
      <c r="BH607" s="213"/>
      <c r="BI607" s="213"/>
      <c r="BJ607" s="213"/>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row>
    <row r="608" spans="1:243" ht="15.6">
      <c r="A608" s="170"/>
      <c r="B608" s="327"/>
      <c r="C608" s="328"/>
      <c r="D608" s="328"/>
      <c r="E608" s="328"/>
      <c r="F608" s="328"/>
      <c r="G608" s="328"/>
      <c r="H608" s="328"/>
      <c r="I608" s="328"/>
      <c r="J608" s="328"/>
      <c r="K608" s="328"/>
      <c r="L608" s="328"/>
      <c r="M608" s="328"/>
      <c r="N608" s="328"/>
      <c r="O608" s="287"/>
      <c r="P608" s="367" t="s">
        <v>1398</v>
      </c>
      <c r="S608" s="277"/>
      <c r="T608" s="277"/>
      <c r="U608" s="277"/>
      <c r="V608" s="277"/>
      <c r="W608" s="277"/>
      <c r="X608" s="277"/>
      <c r="Y608" s="277"/>
      <c r="Z608" s="277"/>
      <c r="AA608" s="277"/>
      <c r="AB608" s="277"/>
      <c r="AC608" s="277"/>
      <c r="AD608" s="277"/>
      <c r="AE608" s="277"/>
      <c r="AF608" s="277"/>
      <c r="AG608" s="277"/>
      <c r="AH608" s="277"/>
      <c r="AI608" s="277"/>
      <c r="AJ608" s="216"/>
      <c r="AK608" s="304"/>
      <c r="AL608" s="303"/>
      <c r="AM608" s="216"/>
      <c r="AN608" s="304"/>
      <c r="AO608" s="277"/>
      <c r="AP608" s="303"/>
      <c r="AQ608" s="303"/>
      <c r="AR608" s="304"/>
      <c r="AS608" s="303"/>
      <c r="AT608" s="303"/>
      <c r="AU608" s="303"/>
      <c r="AV608" s="303"/>
      <c r="AW608" s="213"/>
      <c r="AX608" s="213"/>
      <c r="AY608" s="213"/>
      <c r="AZ608" s="213"/>
      <c r="BA608" s="213"/>
      <c r="BB608" s="213"/>
      <c r="BC608" s="213"/>
      <c r="BD608" s="213"/>
      <c r="BE608" s="213"/>
      <c r="BF608" s="213"/>
      <c r="BG608" s="213"/>
      <c r="BH608" s="213"/>
      <c r="BI608" s="213"/>
      <c r="BJ608" s="213"/>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row>
    <row r="609" spans="1:243" ht="15.6">
      <c r="A609" s="170"/>
      <c r="B609" s="327"/>
      <c r="C609" s="328"/>
      <c r="D609" s="328"/>
      <c r="E609" s="328"/>
      <c r="F609" s="328"/>
      <c r="G609" s="328"/>
      <c r="H609" s="328"/>
      <c r="I609" s="328"/>
      <c r="J609" s="328"/>
      <c r="K609" s="328"/>
      <c r="L609" s="328"/>
      <c r="M609" s="328"/>
      <c r="N609" s="328"/>
      <c r="O609" s="366" t="s">
        <v>3028</v>
      </c>
      <c r="P609" s="333">
        <f>SUM(P375:P381,P407:P413,P438:P444,P470:P476,P500:P505,P529:P534,P559:P564,P585:P589,P603)</f>
        <v>0</v>
      </c>
      <c r="S609" s="277"/>
      <c r="T609" s="277"/>
      <c r="U609" s="277"/>
      <c r="V609" s="277"/>
      <c r="W609" s="277"/>
      <c r="X609" s="277"/>
      <c r="Y609" s="277"/>
      <c r="Z609" s="277"/>
      <c r="AA609" s="277"/>
      <c r="AB609" s="277"/>
      <c r="AC609" s="277"/>
      <c r="AD609" s="277"/>
      <c r="AE609" s="277"/>
      <c r="AF609" s="277"/>
      <c r="AG609" s="277"/>
      <c r="AH609" s="277"/>
      <c r="AI609" s="277"/>
      <c r="AJ609" s="216"/>
      <c r="AK609" s="304"/>
      <c r="AL609" s="303"/>
      <c r="AM609" s="216"/>
      <c r="AN609" s="304"/>
      <c r="AO609" s="277"/>
      <c r="AP609" s="303"/>
      <c r="AQ609" s="303"/>
      <c r="AR609" s="304"/>
      <c r="AS609" s="303"/>
      <c r="AT609" s="303"/>
      <c r="AU609" s="303"/>
      <c r="AV609" s="303"/>
      <c r="AW609" s="213"/>
      <c r="AX609" s="213"/>
      <c r="AY609" s="213"/>
      <c r="AZ609" s="213"/>
      <c r="BA609" s="213"/>
      <c r="BB609" s="213"/>
      <c r="BC609" s="213"/>
      <c r="BD609" s="213"/>
      <c r="BE609" s="213"/>
      <c r="BF609" s="213"/>
      <c r="BG609" s="213"/>
      <c r="BH609" s="213"/>
      <c r="BI609" s="213"/>
      <c r="BJ609" s="213"/>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row>
    <row r="610" spans="1:243" ht="18.600000000000001">
      <c r="A610" s="170"/>
      <c r="B610" s="327"/>
      <c r="C610" s="328"/>
      <c r="D610" s="328"/>
      <c r="E610" s="328"/>
      <c r="F610" s="328"/>
      <c r="G610" s="328"/>
      <c r="H610" s="328"/>
      <c r="I610" s="328"/>
      <c r="J610" s="328"/>
      <c r="K610" s="328"/>
      <c r="L610" s="328"/>
      <c r="M610" s="328"/>
      <c r="N610" s="328"/>
      <c r="O610" s="366" t="s">
        <v>3026</v>
      </c>
      <c r="P610" s="368"/>
      <c r="S610" s="277"/>
      <c r="T610" s="277"/>
      <c r="U610" s="277"/>
      <c r="V610" s="277"/>
      <c r="W610" s="277"/>
      <c r="X610" s="277"/>
      <c r="Y610" s="277"/>
      <c r="Z610" s="277"/>
      <c r="AA610" s="277"/>
      <c r="AB610" s="277"/>
      <c r="AC610" s="277"/>
      <c r="AD610" s="277"/>
      <c r="AE610" s="277"/>
      <c r="AF610" s="277"/>
      <c r="AG610" s="277"/>
      <c r="AH610" s="277"/>
      <c r="AI610" s="277"/>
      <c r="AJ610" s="216"/>
      <c r="AK610" s="304"/>
      <c r="AL610" s="303"/>
      <c r="AM610" s="216"/>
      <c r="AN610" s="304"/>
      <c r="AO610" s="277"/>
      <c r="AP610" s="303"/>
      <c r="AQ610" s="303"/>
      <c r="AR610" s="304"/>
      <c r="AS610" s="303"/>
      <c r="AT610" s="303"/>
      <c r="AU610" s="303"/>
      <c r="AV610" s="303"/>
      <c r="AW610" s="213"/>
      <c r="AX610" s="213"/>
      <c r="AY610" s="213"/>
      <c r="AZ610" s="213"/>
      <c r="BA610" s="213"/>
      <c r="BB610" s="213"/>
      <c r="BC610" s="213"/>
      <c r="BD610" s="213"/>
      <c r="BE610" s="213"/>
      <c r="BF610" s="213"/>
      <c r="BG610" s="213"/>
      <c r="BH610" s="213"/>
      <c r="BI610" s="213"/>
      <c r="BJ610" s="213"/>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row>
    <row r="611" spans="1:243" ht="18.600000000000001">
      <c r="A611" s="170"/>
      <c r="B611" s="327"/>
      <c r="C611" s="328"/>
      <c r="D611" s="328"/>
      <c r="E611" s="328"/>
      <c r="F611" s="328"/>
      <c r="G611" s="328"/>
      <c r="H611" s="328"/>
      <c r="I611" s="328"/>
      <c r="J611" s="328"/>
      <c r="K611" s="328"/>
      <c r="L611" s="328"/>
      <c r="M611" s="328"/>
      <c r="N611" s="328"/>
      <c r="O611" s="366" t="s">
        <v>3029</v>
      </c>
      <c r="P611" s="333">
        <f>SUM(P609:P610)</f>
        <v>0</v>
      </c>
      <c r="S611" s="277"/>
      <c r="T611" s="277"/>
      <c r="U611" s="277"/>
      <c r="V611" s="277"/>
      <c r="W611" s="277"/>
      <c r="X611" s="277"/>
      <c r="Y611" s="277"/>
      <c r="Z611" s="277"/>
      <c r="AA611" s="277"/>
      <c r="AB611" s="277"/>
      <c r="AC611" s="277"/>
      <c r="AD611" s="277"/>
      <c r="AE611" s="277"/>
      <c r="AF611" s="277"/>
      <c r="AG611" s="277"/>
      <c r="AH611" s="277"/>
      <c r="AI611" s="277"/>
      <c r="AJ611" s="216"/>
      <c r="AK611" s="304"/>
      <c r="AL611" s="303"/>
      <c r="AM611" s="216"/>
      <c r="AN611" s="304"/>
      <c r="AO611" s="277"/>
      <c r="AP611" s="303"/>
      <c r="AQ611" s="303"/>
      <c r="AR611" s="304"/>
      <c r="AS611" s="303"/>
      <c r="AT611" s="303"/>
      <c r="AU611" s="303"/>
      <c r="AV611" s="303"/>
      <c r="AW611" s="213"/>
      <c r="AX611" s="213"/>
      <c r="AY611" s="213"/>
      <c r="AZ611" s="213"/>
      <c r="BA611" s="213"/>
      <c r="BB611" s="213"/>
      <c r="BC611" s="213"/>
      <c r="BD611" s="213"/>
      <c r="BE611" s="213"/>
      <c r="BF611" s="213"/>
      <c r="BG611" s="213"/>
      <c r="BH611" s="213"/>
      <c r="BI611" s="213"/>
      <c r="BJ611" s="213"/>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row>
    <row r="612" spans="1:243" ht="15.6">
      <c r="A612" s="170"/>
      <c r="B612" s="327"/>
      <c r="C612" s="328"/>
      <c r="D612" s="328"/>
      <c r="E612" s="328"/>
      <c r="F612" s="328"/>
      <c r="G612" s="328"/>
      <c r="H612" s="328"/>
      <c r="I612" s="328"/>
      <c r="J612" s="328"/>
      <c r="K612" s="328"/>
      <c r="L612" s="328"/>
      <c r="M612" s="328"/>
      <c r="N612" s="328"/>
      <c r="O612" s="366"/>
      <c r="P612" s="367" t="s">
        <v>1399</v>
      </c>
      <c r="S612" s="277"/>
      <c r="T612" s="277"/>
      <c r="U612" s="277"/>
      <c r="V612" s="277"/>
      <c r="W612" s="277"/>
      <c r="X612" s="277"/>
      <c r="Y612" s="277"/>
      <c r="Z612" s="277"/>
      <c r="AA612" s="277"/>
      <c r="AB612" s="277"/>
      <c r="AC612" s="277"/>
      <c r="AD612" s="277"/>
      <c r="AE612" s="277"/>
      <c r="AF612" s="277"/>
      <c r="AG612" s="277"/>
      <c r="AH612" s="277"/>
      <c r="AI612" s="277"/>
      <c r="AJ612" s="216"/>
      <c r="AK612" s="304"/>
      <c r="AL612" s="303"/>
      <c r="AM612" s="216"/>
      <c r="AN612" s="304"/>
      <c r="AO612" s="277"/>
      <c r="AP612" s="303"/>
      <c r="AQ612" s="303"/>
      <c r="AR612" s="304"/>
      <c r="AS612" s="303"/>
      <c r="AT612" s="303"/>
      <c r="AU612" s="303"/>
      <c r="AV612" s="303"/>
      <c r="AW612" s="213"/>
      <c r="AX612" s="213"/>
      <c r="AY612" s="213"/>
      <c r="AZ612" s="213"/>
      <c r="BA612" s="213"/>
      <c r="BB612" s="213"/>
      <c r="BC612" s="213"/>
      <c r="BD612" s="213"/>
      <c r="BE612" s="213"/>
      <c r="BF612" s="213"/>
      <c r="BG612" s="213"/>
      <c r="BH612" s="213"/>
      <c r="BI612" s="213"/>
      <c r="BJ612" s="213"/>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row>
    <row r="613" spans="1:243" ht="15.6">
      <c r="A613" s="171"/>
      <c r="B613" s="273"/>
      <c r="C613" s="328"/>
      <c r="D613" s="292"/>
      <c r="E613" s="292"/>
      <c r="F613" s="292"/>
      <c r="G613" s="292"/>
      <c r="H613" s="292"/>
      <c r="I613" s="292"/>
      <c r="J613" s="292"/>
      <c r="K613" s="292"/>
      <c r="L613" s="292"/>
      <c r="M613" s="292"/>
      <c r="N613" s="292"/>
      <c r="O613" s="292"/>
      <c r="P613" s="251"/>
      <c r="S613" s="277"/>
      <c r="T613" s="277"/>
      <c r="U613" s="277"/>
      <c r="V613" s="277"/>
      <c r="W613" s="277"/>
      <c r="X613" s="277"/>
      <c r="Y613" s="277"/>
      <c r="Z613" s="277"/>
      <c r="AA613" s="277"/>
      <c r="AB613" s="277"/>
      <c r="AC613" s="277"/>
      <c r="AD613" s="277"/>
      <c r="AE613" s="277"/>
      <c r="AF613" s="277"/>
      <c r="AG613" s="277"/>
      <c r="AH613" s="277"/>
      <c r="AI613" s="277"/>
      <c r="AJ613" s="216"/>
      <c r="AK613" s="304"/>
      <c r="AL613" s="303"/>
      <c r="AM613" s="216"/>
      <c r="AN613" s="304"/>
      <c r="AO613" s="277"/>
      <c r="AP613" s="303"/>
      <c r="AQ613" s="303"/>
      <c r="AR613" s="304"/>
      <c r="AS613" s="303"/>
      <c r="AT613" s="303"/>
      <c r="AU613" s="303"/>
      <c r="AV613" s="303"/>
      <c r="AW613" s="213"/>
      <c r="AX613" s="213"/>
      <c r="AY613" s="213"/>
      <c r="AZ613" s="213"/>
      <c r="BA613" s="213"/>
      <c r="BB613" s="213"/>
      <c r="BC613" s="213"/>
      <c r="BD613" s="213"/>
      <c r="BE613" s="213"/>
      <c r="BF613" s="213"/>
      <c r="BG613" s="213"/>
      <c r="BH613" s="213"/>
      <c r="BI613" s="213"/>
      <c r="BJ613" s="2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row>
    <row r="614" spans="1:243" ht="15.6">
      <c r="A614" s="110"/>
      <c r="B614" s="259" t="s">
        <v>110</v>
      </c>
      <c r="C614" s="213"/>
      <c r="D614" s="213"/>
      <c r="E614" s="213"/>
      <c r="F614" s="213"/>
      <c r="G614" s="213"/>
      <c r="H614" s="213"/>
      <c r="I614" s="213"/>
      <c r="J614" s="213"/>
      <c r="K614" s="223"/>
      <c r="L614" s="213"/>
      <c r="M614" s="213"/>
      <c r="N614" s="213"/>
      <c r="O614" s="213"/>
      <c r="P614" s="323"/>
      <c r="S614" s="277"/>
      <c r="T614" s="277"/>
      <c r="U614" s="277"/>
      <c r="V614" s="277"/>
      <c r="W614" s="277"/>
      <c r="X614" s="277"/>
      <c r="Y614" s="277"/>
      <c r="Z614" s="277"/>
      <c r="AA614" s="277"/>
      <c r="AB614" s="277"/>
      <c r="AC614" s="277"/>
      <c r="AD614" s="277"/>
      <c r="AE614" s="277"/>
      <c r="AF614" s="277"/>
      <c r="AG614" s="277"/>
      <c r="AH614" s="277"/>
      <c r="AI614" s="277"/>
      <c r="AJ614" s="216"/>
      <c r="AK614" s="304"/>
      <c r="AL614" s="303"/>
      <c r="AM614" s="216"/>
      <c r="AN614" s="304"/>
      <c r="AO614" s="277"/>
      <c r="AP614" s="303"/>
      <c r="AQ614" s="303"/>
      <c r="AR614" s="304"/>
      <c r="AS614" s="303"/>
      <c r="AT614" s="303"/>
      <c r="AU614" s="303"/>
      <c r="AV614" s="303"/>
      <c r="AW614" s="213"/>
      <c r="AX614" s="213"/>
      <c r="AY614" s="213"/>
      <c r="AZ614" s="213"/>
      <c r="BA614" s="213"/>
      <c r="BB614" s="213"/>
      <c r="BC614" s="213"/>
      <c r="BD614" s="213"/>
      <c r="BE614" s="213"/>
      <c r="BF614" s="213"/>
      <c r="BG614" s="213"/>
      <c r="BH614" s="213"/>
      <c r="BI614" s="213"/>
      <c r="BJ614" s="213"/>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row>
    <row r="615" spans="1:243" ht="18.600000000000001">
      <c r="A615" s="171"/>
      <c r="B615" s="260" t="s">
        <v>3030</v>
      </c>
      <c r="C615" s="213"/>
      <c r="D615" s="213"/>
      <c r="E615" s="213"/>
      <c r="F615" s="213"/>
      <c r="G615" s="213"/>
      <c r="H615" s="213"/>
      <c r="I615" s="213"/>
      <c r="J615" s="213"/>
      <c r="K615" s="223"/>
      <c r="L615" s="213"/>
      <c r="M615" s="213"/>
      <c r="N615" s="213"/>
      <c r="O615" s="213"/>
      <c r="P615" s="323"/>
      <c r="S615" s="277"/>
      <c r="T615" s="277"/>
      <c r="U615" s="277"/>
      <c r="V615" s="277"/>
      <c r="W615" s="277"/>
      <c r="X615" s="277"/>
      <c r="Y615" s="277"/>
      <c r="Z615" s="277"/>
      <c r="AA615" s="277"/>
      <c r="AB615" s="277"/>
      <c r="AC615" s="277"/>
      <c r="AD615" s="277"/>
      <c r="AE615" s="277"/>
      <c r="AF615" s="277"/>
      <c r="AG615" s="277"/>
      <c r="AH615" s="277"/>
      <c r="AI615" s="277"/>
      <c r="AJ615" s="216"/>
      <c r="AK615" s="304"/>
      <c r="AL615" s="303"/>
      <c r="AM615" s="216"/>
      <c r="AN615" s="304"/>
      <c r="AO615" s="277"/>
      <c r="AP615" s="303"/>
      <c r="AQ615" s="303"/>
      <c r="AR615" s="304"/>
      <c r="AS615" s="303"/>
      <c r="AT615" s="303"/>
      <c r="AU615" s="303"/>
      <c r="AV615" s="303"/>
      <c r="AW615" s="213"/>
      <c r="AX615" s="213"/>
      <c r="AY615" s="213"/>
      <c r="AZ615" s="213"/>
      <c r="BA615" s="213"/>
      <c r="BB615" s="213"/>
      <c r="BC615" s="213"/>
      <c r="BD615" s="213"/>
      <c r="BE615" s="213"/>
      <c r="BF615" s="213"/>
      <c r="BG615" s="213"/>
      <c r="BH615" s="213"/>
      <c r="BI615" s="213"/>
      <c r="BJ615" s="213"/>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row>
    <row r="616" spans="1:243" ht="18.600000000000001">
      <c r="A616" s="171"/>
      <c r="B616" s="260" t="s">
        <v>1400</v>
      </c>
      <c r="C616" s="213"/>
      <c r="D616" s="213"/>
      <c r="E616" s="213"/>
      <c r="F616" s="213"/>
      <c r="G616" s="213"/>
      <c r="H616" s="213"/>
      <c r="I616" s="213"/>
      <c r="J616" s="213"/>
      <c r="K616" s="223"/>
      <c r="L616" s="213"/>
      <c r="M616" s="213"/>
      <c r="N616" s="213"/>
      <c r="O616" s="213"/>
      <c r="P616" s="323"/>
      <c r="S616" s="277"/>
      <c r="T616" s="277"/>
      <c r="U616" s="277"/>
      <c r="V616" s="277"/>
      <c r="W616" s="277"/>
      <c r="X616" s="277"/>
      <c r="Y616" s="277"/>
      <c r="Z616" s="277"/>
      <c r="AA616" s="277"/>
      <c r="AB616" s="277"/>
      <c r="AC616" s="277"/>
      <c r="AD616" s="277"/>
      <c r="AE616" s="277"/>
      <c r="AF616" s="277"/>
      <c r="AG616" s="277"/>
      <c r="AH616" s="277"/>
      <c r="AI616" s="277"/>
      <c r="AJ616" s="216"/>
      <c r="AK616" s="304"/>
      <c r="AL616" s="303"/>
      <c r="AM616" s="216"/>
      <c r="AN616" s="304"/>
      <c r="AO616" s="277"/>
      <c r="AP616" s="303"/>
      <c r="AQ616" s="303"/>
      <c r="AR616" s="304"/>
      <c r="AS616" s="303"/>
      <c r="AT616" s="303"/>
      <c r="AU616" s="303"/>
      <c r="AV616" s="303"/>
      <c r="AW616" s="213"/>
      <c r="AX616" s="213"/>
      <c r="AY616" s="213"/>
      <c r="AZ616" s="213"/>
      <c r="BA616" s="213"/>
      <c r="BB616" s="213"/>
      <c r="BC616" s="213"/>
      <c r="BD616" s="213"/>
      <c r="BE616" s="213"/>
      <c r="BF616" s="213"/>
      <c r="BG616" s="213"/>
      <c r="BH616" s="213"/>
      <c r="BI616" s="213"/>
      <c r="BJ616" s="213"/>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row>
    <row r="617" spans="1:243" ht="18.75" customHeight="1">
      <c r="A617" s="171"/>
      <c r="B617" s="260" t="s">
        <v>1401</v>
      </c>
      <c r="C617" s="213"/>
      <c r="D617" s="289"/>
      <c r="E617" s="289"/>
      <c r="F617" s="289"/>
      <c r="G617" s="289"/>
      <c r="H617" s="289"/>
      <c r="I617" s="289"/>
      <c r="J617" s="289"/>
      <c r="K617" s="289"/>
      <c r="L617" s="289"/>
      <c r="M617" s="289"/>
      <c r="N617" s="289"/>
      <c r="O617" s="289"/>
      <c r="P617" s="329"/>
      <c r="S617" s="277"/>
      <c r="T617" s="277"/>
      <c r="U617" s="277"/>
      <c r="V617" s="277"/>
      <c r="W617" s="277"/>
      <c r="X617" s="277"/>
      <c r="Y617" s="277"/>
      <c r="Z617" s="277"/>
      <c r="AA617" s="277"/>
      <c r="AB617" s="277"/>
      <c r="AC617" s="277"/>
      <c r="AD617" s="277"/>
      <c r="AE617" s="277"/>
      <c r="AF617" s="277"/>
      <c r="AG617" s="277"/>
      <c r="AH617" s="277"/>
      <c r="AI617" s="277"/>
      <c r="AJ617" s="216"/>
      <c r="AK617" s="304"/>
      <c r="AL617" s="303"/>
      <c r="AM617" s="216"/>
      <c r="AN617" s="304"/>
      <c r="AO617" s="277"/>
      <c r="AP617" s="303"/>
      <c r="AQ617" s="303"/>
      <c r="AR617" s="304"/>
      <c r="AS617" s="303"/>
      <c r="AT617" s="303"/>
      <c r="AU617" s="303"/>
      <c r="AV617" s="303"/>
      <c r="AW617" s="213"/>
      <c r="AX617" s="213"/>
      <c r="AY617" s="213"/>
      <c r="AZ617" s="213"/>
      <c r="BA617" s="213"/>
      <c r="BB617" s="213"/>
      <c r="BC617" s="213"/>
      <c r="BD617" s="213"/>
      <c r="BE617" s="213"/>
      <c r="BF617" s="213"/>
      <c r="BG617" s="213"/>
      <c r="BH617" s="213"/>
      <c r="BI617" s="213"/>
      <c r="BJ617" s="213"/>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row>
    <row r="618" spans="1:243" ht="18.600000000000001">
      <c r="A618" s="171"/>
      <c r="B618" s="260" t="s">
        <v>1402</v>
      </c>
      <c r="C618" s="213"/>
      <c r="G618" s="54"/>
      <c r="H618" s="54"/>
      <c r="P618" s="323"/>
      <c r="S618" s="277"/>
      <c r="T618" s="277"/>
      <c r="U618" s="277"/>
      <c r="V618" s="277"/>
      <c r="W618" s="277"/>
      <c r="X618" s="277"/>
      <c r="Y618" s="277"/>
      <c r="Z618" s="277"/>
      <c r="AA618" s="277"/>
      <c r="AB618" s="277"/>
      <c r="AC618" s="277"/>
      <c r="AD618" s="277"/>
      <c r="AE618" s="277"/>
      <c r="AF618" s="277"/>
      <c r="AG618" s="277"/>
      <c r="AH618" s="277"/>
      <c r="AI618" s="277"/>
      <c r="AJ618" s="216"/>
      <c r="AK618" s="304"/>
      <c r="AL618" s="303"/>
      <c r="AM618" s="216"/>
      <c r="AN618" s="304"/>
      <c r="AO618" s="277"/>
      <c r="AP618" s="303"/>
      <c r="AQ618" s="303"/>
      <c r="AR618" s="304"/>
      <c r="AS618" s="303"/>
      <c r="AT618" s="303"/>
      <c r="AU618" s="303"/>
      <c r="AV618" s="303"/>
      <c r="AW618" s="213"/>
      <c r="AX618" s="213"/>
      <c r="AY618" s="213"/>
      <c r="AZ618" s="213"/>
      <c r="BA618" s="213"/>
      <c r="BB618" s="213"/>
      <c r="BC618" s="213"/>
      <c r="BD618" s="213"/>
      <c r="BE618" s="213"/>
      <c r="BF618" s="213"/>
      <c r="BG618" s="213"/>
      <c r="BH618" s="213"/>
      <c r="BI618" s="213"/>
      <c r="BJ618" s="213"/>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row>
    <row r="619" spans="1:243" ht="18.600000000000001">
      <c r="A619" s="171"/>
      <c r="B619" s="260" t="s">
        <v>1403</v>
      </c>
      <c r="C619" s="213"/>
      <c r="G619" s="54"/>
      <c r="H619" s="54"/>
      <c r="P619" s="323"/>
      <c r="S619" s="277"/>
      <c r="T619" s="277"/>
      <c r="U619" s="277"/>
      <c r="V619" s="277"/>
      <c r="W619" s="277"/>
      <c r="X619" s="277"/>
      <c r="Y619" s="277"/>
      <c r="Z619" s="277"/>
      <c r="AA619" s="277"/>
      <c r="AB619" s="277"/>
      <c r="AC619" s="277"/>
      <c r="AD619" s="277"/>
      <c r="AE619" s="277"/>
      <c r="AF619" s="277"/>
      <c r="AG619" s="277"/>
      <c r="AH619" s="277"/>
      <c r="AI619" s="277"/>
      <c r="AJ619" s="216"/>
      <c r="AK619" s="304"/>
      <c r="AL619" s="303"/>
      <c r="AM619" s="216"/>
      <c r="AN619" s="304"/>
      <c r="AO619" s="277"/>
      <c r="AP619" s="303"/>
      <c r="AQ619" s="303"/>
      <c r="AR619" s="304"/>
      <c r="AS619" s="303"/>
      <c r="AT619" s="303"/>
      <c r="AU619" s="303"/>
      <c r="AV619" s="303"/>
      <c r="AW619" s="213"/>
      <c r="AX619" s="213"/>
      <c r="AY619" s="213"/>
      <c r="AZ619" s="213"/>
      <c r="BA619" s="213"/>
      <c r="BB619" s="213"/>
      <c r="BC619" s="213"/>
      <c r="BD619" s="213"/>
      <c r="BE619" s="213"/>
      <c r="BF619" s="213"/>
      <c r="BG619" s="213"/>
      <c r="BH619" s="213"/>
      <c r="BI619" s="213"/>
      <c r="BJ619" s="213"/>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row>
    <row r="620" spans="1:243" ht="74.25" customHeight="1">
      <c r="A620" s="293"/>
      <c r="B620" s="1782" t="s">
        <v>3031</v>
      </c>
      <c r="C620" s="1783"/>
      <c r="D620" s="1783"/>
      <c r="E620" s="1783"/>
      <c r="F620" s="1783"/>
      <c r="G620" s="1783"/>
      <c r="H620" s="1783"/>
      <c r="I620" s="1783"/>
      <c r="J620" s="1783"/>
      <c r="K620" s="1783"/>
      <c r="L620" s="1783"/>
      <c r="M620" s="1783"/>
      <c r="N620" s="1783"/>
      <c r="O620" s="1783"/>
      <c r="P620" s="1783"/>
      <c r="S620" s="277"/>
      <c r="T620" s="277"/>
      <c r="U620" s="277"/>
      <c r="V620" s="277"/>
      <c r="W620" s="277"/>
      <c r="X620" s="277"/>
      <c r="Y620" s="277"/>
      <c r="Z620" s="277"/>
      <c r="AA620" s="277"/>
      <c r="AB620" s="277"/>
      <c r="AC620" s="277"/>
      <c r="AD620" s="277"/>
      <c r="AE620" s="277"/>
      <c r="AF620" s="277"/>
      <c r="AG620" s="277"/>
      <c r="AH620" s="277"/>
      <c r="AI620" s="277"/>
      <c r="AJ620" s="216"/>
      <c r="AK620" s="304"/>
      <c r="AL620" s="303"/>
      <c r="AM620" s="216"/>
      <c r="AN620" s="304"/>
      <c r="AO620" s="277"/>
      <c r="AP620" s="303"/>
      <c r="AQ620" s="303"/>
      <c r="AR620" s="304"/>
      <c r="AS620" s="303"/>
      <c r="AT620" s="303"/>
      <c r="AU620" s="303"/>
      <c r="AV620" s="303"/>
      <c r="AW620" s="213"/>
      <c r="AX620" s="213"/>
      <c r="AY620" s="213"/>
      <c r="AZ620" s="213"/>
      <c r="BA620" s="213"/>
      <c r="BB620" s="213"/>
      <c r="BC620" s="213"/>
      <c r="BD620" s="213"/>
      <c r="BE620" s="213"/>
      <c r="BF620" s="213"/>
      <c r="BG620" s="213"/>
      <c r="BH620" s="213"/>
      <c r="BI620" s="213"/>
      <c r="BJ620" s="213"/>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row>
    <row r="621" spans="1:243" ht="15.6">
      <c r="A621"/>
      <c r="B621"/>
      <c r="C621"/>
      <c r="D621"/>
      <c r="E621"/>
      <c r="F621"/>
      <c r="G621" s="54"/>
      <c r="H621" s="54"/>
      <c r="S621" s="277"/>
      <c r="T621" s="277"/>
      <c r="U621" s="277"/>
      <c r="V621" s="277"/>
      <c r="W621" s="277"/>
      <c r="X621" s="277"/>
      <c r="Y621" s="277"/>
      <c r="Z621" s="277"/>
      <c r="AA621" s="277"/>
      <c r="AB621" s="277"/>
      <c r="AC621" s="277"/>
      <c r="AD621" s="277"/>
      <c r="AE621" s="277"/>
      <c r="AF621" s="277"/>
      <c r="AG621" s="277"/>
      <c r="AH621" s="277"/>
      <c r="AI621" s="277"/>
      <c r="AJ621" s="216"/>
      <c r="AK621" s="304"/>
      <c r="AL621" s="303"/>
      <c r="AM621" s="216"/>
      <c r="AN621" s="304"/>
      <c r="AO621" s="277"/>
      <c r="AP621" s="303"/>
      <c r="AQ621" s="303"/>
      <c r="AR621" s="304"/>
      <c r="AS621" s="303"/>
      <c r="AT621" s="303"/>
      <c r="AU621" s="303"/>
      <c r="AV621" s="303"/>
      <c r="AW621" s="213"/>
      <c r="AX621" s="213"/>
      <c r="AY621" s="213"/>
      <c r="AZ621" s="213"/>
      <c r="BA621" s="213"/>
      <c r="BB621" s="213"/>
      <c r="BC621" s="213"/>
      <c r="BD621" s="213"/>
      <c r="BE621" s="213"/>
      <c r="BF621" s="213"/>
      <c r="BG621" s="213"/>
      <c r="BH621" s="213"/>
      <c r="BI621" s="213"/>
      <c r="BJ621" s="213"/>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row>
    <row r="622" spans="1:243" ht="15.6">
      <c r="A622"/>
      <c r="B622"/>
      <c r="C622"/>
      <c r="D622"/>
      <c r="E622"/>
      <c r="F622"/>
      <c r="G622" s="54"/>
      <c r="H622" s="54"/>
      <c r="S622" s="277"/>
      <c r="T622" s="277"/>
      <c r="U622" s="277"/>
      <c r="V622" s="277"/>
      <c r="W622" s="277"/>
      <c r="X622" s="277"/>
      <c r="Y622" s="277"/>
      <c r="Z622" s="277"/>
      <c r="AA622" s="277"/>
      <c r="AB622" s="277"/>
      <c r="AC622" s="277"/>
      <c r="AD622" s="277"/>
      <c r="AE622" s="277"/>
      <c r="AF622" s="277"/>
      <c r="AG622" s="277"/>
      <c r="AH622" s="277"/>
      <c r="AI622" s="277"/>
      <c r="AJ622" s="216"/>
      <c r="AK622" s="304"/>
      <c r="AL622" s="303"/>
      <c r="AM622" s="216"/>
      <c r="AN622" s="304"/>
      <c r="AO622" s="277"/>
      <c r="AP622" s="303"/>
      <c r="AQ622" s="303"/>
      <c r="AR622" s="304"/>
      <c r="AS622" s="303"/>
      <c r="AT622" s="303"/>
      <c r="AU622" s="303"/>
      <c r="AV622" s="303"/>
      <c r="AW622" s="213"/>
      <c r="AX622" s="213"/>
      <c r="AY622" s="213"/>
      <c r="AZ622" s="213"/>
      <c r="BA622" s="213"/>
      <c r="BB622" s="213"/>
      <c r="BC622" s="213"/>
      <c r="BD622" s="213"/>
      <c r="BE622" s="213"/>
      <c r="BF622" s="213"/>
      <c r="BG622" s="213"/>
      <c r="BH622" s="213"/>
      <c r="BI622" s="213"/>
      <c r="BJ622" s="213"/>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row>
    <row r="623" spans="1:243" ht="15.6">
      <c r="A623"/>
      <c r="B623"/>
      <c r="C623"/>
      <c r="D623"/>
      <c r="E623"/>
      <c r="F623"/>
      <c r="S623" s="277"/>
      <c r="T623" s="277"/>
      <c r="U623" s="277"/>
      <c r="V623" s="277"/>
      <c r="W623" s="277"/>
      <c r="X623" s="277"/>
      <c r="Y623" s="277"/>
      <c r="Z623" s="277"/>
      <c r="AA623" s="277"/>
      <c r="AB623" s="277"/>
      <c r="AC623" s="277"/>
      <c r="AD623" s="277"/>
      <c r="AE623" s="277"/>
      <c r="AF623" s="277"/>
      <c r="AG623" s="277"/>
      <c r="AH623" s="277"/>
      <c r="AI623" s="277"/>
      <c r="AJ623" s="216"/>
      <c r="AK623" s="304"/>
      <c r="AL623" s="303"/>
      <c r="AM623" s="216"/>
      <c r="AN623" s="304"/>
      <c r="AO623" s="277"/>
      <c r="AP623" s="303"/>
      <c r="AQ623" s="303"/>
      <c r="AR623" s="304"/>
      <c r="AS623" s="303"/>
      <c r="AT623" s="303"/>
      <c r="AU623" s="303"/>
      <c r="AV623" s="303"/>
      <c r="AW623" s="213"/>
      <c r="AX623" s="213"/>
      <c r="AY623" s="213"/>
      <c r="AZ623" s="213"/>
      <c r="BA623" s="213"/>
      <c r="BB623" s="213"/>
      <c r="BC623" s="213"/>
      <c r="BD623" s="213"/>
      <c r="BE623" s="213"/>
      <c r="BF623" s="213"/>
      <c r="BG623" s="213"/>
      <c r="BH623" s="213"/>
      <c r="BI623" s="213"/>
      <c r="BJ623" s="21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row>
    <row r="624" spans="1:243" ht="15.6">
      <c r="A624"/>
      <c r="B624"/>
      <c r="C624"/>
      <c r="D624"/>
      <c r="E624"/>
      <c r="F624"/>
      <c r="S624" s="277"/>
      <c r="T624" s="277"/>
      <c r="U624" s="277"/>
      <c r="V624" s="277"/>
      <c r="W624" s="277"/>
      <c r="X624" s="277"/>
      <c r="Y624" s="277"/>
      <c r="Z624" s="277"/>
      <c r="AA624" s="277"/>
      <c r="AB624" s="277"/>
      <c r="AC624" s="277"/>
      <c r="AD624" s="277"/>
      <c r="AE624" s="277"/>
      <c r="AF624" s="277"/>
      <c r="AG624" s="277"/>
      <c r="AH624" s="277"/>
      <c r="AI624" s="277"/>
      <c r="AJ624" s="216"/>
      <c r="AK624" s="304"/>
      <c r="AL624" s="303"/>
      <c r="AM624" s="216"/>
      <c r="AN624" s="304"/>
      <c r="AO624" s="277"/>
      <c r="AP624" s="303"/>
      <c r="AQ624" s="303"/>
      <c r="AR624" s="304"/>
      <c r="AS624" s="303"/>
      <c r="AT624" s="303"/>
      <c r="AU624" s="303"/>
      <c r="AV624" s="303"/>
      <c r="AW624" s="213"/>
      <c r="AX624" s="213"/>
      <c r="AY624" s="213"/>
      <c r="AZ624" s="213"/>
      <c r="BA624" s="213"/>
      <c r="BB624" s="213"/>
      <c r="BC624" s="213"/>
      <c r="BD624" s="213"/>
      <c r="BE624" s="213"/>
      <c r="BF624" s="213"/>
      <c r="BG624" s="213"/>
      <c r="BH624" s="213"/>
      <c r="BI624" s="213"/>
      <c r="BJ624" s="213"/>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row>
    <row r="625" spans="7:62" customFormat="1" ht="15.6">
      <c r="G625" s="52"/>
      <c r="H625" s="52"/>
      <c r="I625" s="52"/>
      <c r="J625" s="52"/>
      <c r="K625" s="53"/>
      <c r="L625" s="52"/>
      <c r="M625" s="52"/>
      <c r="N625" s="52"/>
      <c r="O625" s="52"/>
      <c r="P625" s="52"/>
      <c r="Q625" s="52"/>
      <c r="R625" s="52"/>
      <c r="S625" s="277"/>
      <c r="T625" s="277"/>
      <c r="U625" s="277"/>
      <c r="V625" s="277"/>
      <c r="W625" s="277"/>
      <c r="X625" s="277"/>
      <c r="Y625" s="277"/>
      <c r="Z625" s="277"/>
      <c r="AA625" s="277"/>
      <c r="AB625" s="277"/>
      <c r="AC625" s="277"/>
      <c r="AD625" s="277"/>
      <c r="AE625" s="277"/>
      <c r="AF625" s="277"/>
      <c r="AG625" s="277"/>
      <c r="AH625" s="277"/>
      <c r="AI625" s="277"/>
      <c r="AJ625" s="216"/>
      <c r="AK625" s="304"/>
      <c r="AL625" s="303"/>
      <c r="AM625" s="216"/>
      <c r="AN625" s="304"/>
      <c r="AO625" s="277"/>
      <c r="AP625" s="303"/>
      <c r="AQ625" s="303"/>
      <c r="AR625" s="304"/>
      <c r="AS625" s="303"/>
      <c r="AT625" s="303"/>
      <c r="AU625" s="303"/>
      <c r="AV625" s="303"/>
      <c r="AW625" s="213"/>
      <c r="AX625" s="213"/>
      <c r="AY625" s="213"/>
      <c r="AZ625" s="213"/>
      <c r="BA625" s="213"/>
      <c r="BB625" s="213"/>
      <c r="BC625" s="213"/>
      <c r="BD625" s="213"/>
      <c r="BE625" s="213"/>
      <c r="BF625" s="213"/>
      <c r="BG625" s="213"/>
      <c r="BH625" s="213"/>
      <c r="BI625" s="213"/>
      <c r="BJ625" s="213"/>
    </row>
    <row r="626" spans="7:62" customFormat="1" ht="15.6">
      <c r="G626" s="52"/>
      <c r="H626" s="52"/>
      <c r="I626" s="52"/>
      <c r="J626" s="52"/>
      <c r="K626" s="53"/>
      <c r="L626" s="52"/>
      <c r="M626" s="52"/>
      <c r="N626" s="52"/>
      <c r="O626" s="52"/>
      <c r="P626" s="52"/>
      <c r="Q626" s="52"/>
      <c r="R626" s="52"/>
      <c r="S626" s="277"/>
      <c r="T626" s="277"/>
      <c r="U626" s="277"/>
      <c r="V626" s="277"/>
      <c r="W626" s="277"/>
      <c r="X626" s="277"/>
      <c r="Y626" s="277"/>
      <c r="Z626" s="277"/>
      <c r="AA626" s="277"/>
      <c r="AB626" s="277"/>
      <c r="AC626" s="277"/>
      <c r="AD626" s="277"/>
      <c r="AE626" s="277"/>
      <c r="AF626" s="277"/>
      <c r="AG626" s="277"/>
      <c r="AH626" s="277"/>
      <c r="AI626" s="277"/>
      <c r="AJ626" s="216"/>
      <c r="AK626" s="304"/>
      <c r="AL626" s="303"/>
      <c r="AM626" s="216"/>
      <c r="AN626" s="304"/>
      <c r="AO626" s="277"/>
      <c r="AP626" s="303"/>
      <c r="AQ626" s="303"/>
      <c r="AR626" s="304"/>
      <c r="AS626" s="303"/>
      <c r="AT626" s="303"/>
      <c r="AU626" s="303"/>
      <c r="AV626" s="303"/>
      <c r="AW626" s="213"/>
      <c r="AX626" s="213"/>
      <c r="AY626" s="213"/>
      <c r="AZ626" s="213"/>
      <c r="BA626" s="213"/>
      <c r="BB626" s="213"/>
      <c r="BC626" s="213"/>
      <c r="BD626" s="213"/>
      <c r="BE626" s="213"/>
      <c r="BF626" s="213"/>
      <c r="BG626" s="213"/>
      <c r="BH626" s="213"/>
      <c r="BI626" s="213"/>
      <c r="BJ626" s="213"/>
    </row>
    <row r="627" spans="7:62" customFormat="1" ht="15.6">
      <c r="G627" s="52"/>
      <c r="H627" s="52"/>
      <c r="I627" s="52"/>
      <c r="J627" s="52"/>
      <c r="K627" s="53"/>
      <c r="L627" s="52"/>
      <c r="M627" s="52"/>
      <c r="N627" s="52"/>
      <c r="O627" s="52"/>
      <c r="P627" s="52"/>
      <c r="Q627" s="52"/>
      <c r="R627" s="52"/>
      <c r="S627" s="277"/>
      <c r="T627" s="277"/>
      <c r="U627" s="277"/>
      <c r="V627" s="277"/>
      <c r="W627" s="277"/>
      <c r="X627" s="277"/>
      <c r="Y627" s="277"/>
      <c r="Z627" s="277"/>
      <c r="AA627" s="277"/>
      <c r="AB627" s="277"/>
      <c r="AC627" s="277"/>
      <c r="AD627" s="277"/>
      <c r="AE627" s="277"/>
      <c r="AF627" s="277"/>
      <c r="AG627" s="277"/>
      <c r="AH627" s="277"/>
      <c r="AI627" s="277"/>
      <c r="AJ627" s="216"/>
      <c r="AK627" s="304"/>
      <c r="AL627" s="303"/>
      <c r="AM627" s="216"/>
      <c r="AN627" s="304"/>
      <c r="AO627" s="277"/>
      <c r="AP627" s="303"/>
      <c r="AQ627" s="303"/>
      <c r="AR627" s="304"/>
      <c r="AS627" s="303"/>
      <c r="AT627" s="303"/>
      <c r="AU627" s="303"/>
      <c r="AV627" s="303"/>
      <c r="AW627" s="213"/>
      <c r="AX627" s="213"/>
      <c r="AY627" s="213"/>
      <c r="AZ627" s="213"/>
      <c r="BA627" s="213"/>
      <c r="BB627" s="213"/>
      <c r="BC627" s="213"/>
      <c r="BD627" s="213"/>
      <c r="BE627" s="213"/>
      <c r="BF627" s="213"/>
      <c r="BG627" s="213"/>
      <c r="BH627" s="213"/>
      <c r="BI627" s="213"/>
      <c r="BJ627" s="213"/>
    </row>
    <row r="628" spans="7:62" customFormat="1" ht="15.6">
      <c r="G628" s="52"/>
      <c r="H628" s="52"/>
      <c r="I628" s="52"/>
      <c r="J628" s="52"/>
      <c r="K628" s="53"/>
      <c r="L628" s="52"/>
      <c r="M628" s="52"/>
      <c r="N628" s="52"/>
      <c r="O628" s="52"/>
      <c r="P628" s="52"/>
      <c r="Q628" s="52"/>
      <c r="R628" s="52"/>
      <c r="S628" s="277"/>
      <c r="T628" s="277"/>
      <c r="U628" s="277"/>
      <c r="V628" s="277"/>
      <c r="W628" s="277"/>
      <c r="X628" s="277"/>
      <c r="Y628" s="277"/>
      <c r="Z628" s="277"/>
      <c r="AA628" s="277"/>
      <c r="AB628" s="277"/>
      <c r="AC628" s="277"/>
      <c r="AD628" s="277"/>
      <c r="AE628" s="277"/>
      <c r="AF628" s="277"/>
      <c r="AG628" s="277"/>
      <c r="AH628" s="277"/>
      <c r="AI628" s="277"/>
      <c r="AJ628" s="216"/>
      <c r="AK628" s="304"/>
      <c r="AL628" s="303"/>
      <c r="AM628" s="216"/>
      <c r="AN628" s="304"/>
      <c r="AO628" s="277"/>
      <c r="AP628" s="303"/>
      <c r="AQ628" s="303"/>
      <c r="AR628" s="304"/>
      <c r="AS628" s="303"/>
      <c r="AT628" s="303"/>
      <c r="AU628" s="303"/>
      <c r="AV628" s="303"/>
      <c r="AW628" s="213"/>
      <c r="AX628" s="213"/>
      <c r="AY628" s="213"/>
      <c r="AZ628" s="213"/>
      <c r="BA628" s="213"/>
      <c r="BB628" s="213"/>
      <c r="BC628" s="213"/>
      <c r="BD628" s="213"/>
      <c r="BE628" s="213"/>
      <c r="BF628" s="213"/>
      <c r="BG628" s="213"/>
      <c r="BH628" s="213"/>
      <c r="BI628" s="213"/>
      <c r="BJ628" s="213"/>
    </row>
    <row r="629" spans="7:62" customFormat="1" ht="15.6">
      <c r="G629" s="52"/>
      <c r="H629" s="52"/>
      <c r="I629" s="52"/>
      <c r="J629" s="52"/>
      <c r="K629" s="53"/>
      <c r="L629" s="52"/>
      <c r="M629" s="52"/>
      <c r="N629" s="52"/>
      <c r="O629" s="52"/>
      <c r="P629" s="52"/>
      <c r="Q629" s="52"/>
      <c r="R629" s="52"/>
      <c r="S629" s="277"/>
      <c r="T629" s="277"/>
      <c r="U629" s="277"/>
      <c r="V629" s="277"/>
      <c r="W629" s="277"/>
      <c r="X629" s="277"/>
      <c r="Y629" s="277"/>
      <c r="Z629" s="277"/>
      <c r="AA629" s="277"/>
      <c r="AB629" s="277"/>
      <c r="AC629" s="277"/>
      <c r="AD629" s="277"/>
      <c r="AE629" s="277"/>
      <c r="AF629" s="277"/>
      <c r="AG629" s="277"/>
      <c r="AH629" s="277"/>
      <c r="AI629" s="277"/>
      <c r="AJ629" s="216"/>
      <c r="AK629" s="304"/>
      <c r="AL629" s="303"/>
      <c r="AM629" s="216"/>
      <c r="AN629" s="304"/>
      <c r="AO629" s="277"/>
      <c r="AP629" s="303"/>
      <c r="AQ629" s="303"/>
      <c r="AR629" s="304"/>
      <c r="AS629" s="303"/>
      <c r="AT629" s="303"/>
      <c r="AU629" s="303"/>
      <c r="AV629" s="303"/>
      <c r="AW629" s="213"/>
      <c r="AX629" s="213"/>
      <c r="AY629" s="213"/>
      <c r="AZ629" s="213"/>
      <c r="BA629" s="213"/>
      <c r="BB629" s="213"/>
      <c r="BC629" s="213"/>
      <c r="BD629" s="213"/>
      <c r="BE629" s="213"/>
      <c r="BF629" s="213"/>
      <c r="BG629" s="213"/>
      <c r="BH629" s="213"/>
      <c r="BI629" s="213"/>
      <c r="BJ629" s="213"/>
    </row>
    <row r="630" spans="7:62" customFormat="1" ht="15.6">
      <c r="G630" s="52"/>
      <c r="H630" s="52"/>
      <c r="I630" s="52"/>
      <c r="J630" s="52"/>
      <c r="K630" s="53"/>
      <c r="L630" s="52"/>
      <c r="M630" s="52"/>
      <c r="N630" s="52"/>
      <c r="O630" s="52"/>
      <c r="P630" s="52"/>
      <c r="Q630" s="52"/>
      <c r="R630" s="52"/>
      <c r="S630" s="277"/>
      <c r="T630" s="277"/>
      <c r="U630" s="277"/>
      <c r="V630" s="277"/>
      <c r="W630" s="277"/>
      <c r="X630" s="277"/>
      <c r="Y630" s="277"/>
      <c r="Z630" s="277"/>
      <c r="AA630" s="277"/>
      <c r="AB630" s="277"/>
      <c r="AC630" s="277"/>
      <c r="AD630" s="277"/>
      <c r="AE630" s="277"/>
      <c r="AF630" s="277"/>
      <c r="AG630" s="277"/>
      <c r="AH630" s="277"/>
      <c r="AI630" s="277"/>
      <c r="AJ630" s="216"/>
      <c r="AK630" s="304"/>
      <c r="AL630" s="303"/>
      <c r="AM630" s="216"/>
      <c r="AN630" s="304"/>
      <c r="AO630" s="277"/>
      <c r="AP630" s="303"/>
      <c r="AQ630" s="303"/>
      <c r="AR630" s="304"/>
      <c r="AS630" s="303"/>
      <c r="AT630" s="303"/>
      <c r="AU630" s="303"/>
      <c r="AV630" s="303"/>
      <c r="AW630" s="213"/>
      <c r="AX630" s="213"/>
      <c r="AY630" s="213"/>
      <c r="AZ630" s="213"/>
      <c r="BA630" s="213"/>
      <c r="BB630" s="213"/>
      <c r="BC630" s="213"/>
      <c r="BD630" s="213"/>
      <c r="BE630" s="213"/>
      <c r="BF630" s="213"/>
      <c r="BG630" s="213"/>
      <c r="BH630" s="213"/>
      <c r="BI630" s="213"/>
      <c r="BJ630" s="213"/>
    </row>
    <row r="631" spans="7:62" customFormat="1" ht="15.6">
      <c r="G631" s="52"/>
      <c r="H631" s="52"/>
      <c r="I631" s="52"/>
      <c r="J631" s="52"/>
      <c r="K631" s="53"/>
      <c r="L631" s="52"/>
      <c r="M631" s="52"/>
      <c r="N631" s="52"/>
      <c r="O631" s="52"/>
      <c r="P631" s="52"/>
      <c r="Q631" s="52"/>
      <c r="R631" s="52"/>
      <c r="S631" s="277"/>
      <c r="T631" s="277"/>
      <c r="U631" s="277"/>
      <c r="V631" s="277"/>
      <c r="W631" s="277"/>
      <c r="X631" s="277"/>
      <c r="Y631" s="277"/>
      <c r="Z631" s="277"/>
      <c r="AA631" s="277"/>
      <c r="AB631" s="277"/>
      <c r="AC631" s="277"/>
      <c r="AD631" s="277"/>
      <c r="AE631" s="277"/>
      <c r="AF631" s="277"/>
      <c r="AG631" s="277"/>
      <c r="AH631" s="277"/>
      <c r="AI631" s="277"/>
      <c r="AJ631" s="216"/>
      <c r="AK631" s="304"/>
      <c r="AL631" s="303"/>
      <c r="AM631" s="216"/>
      <c r="AN631" s="304"/>
      <c r="AO631" s="277"/>
      <c r="AP631" s="303"/>
      <c r="AQ631" s="303"/>
      <c r="AR631" s="304"/>
      <c r="AS631" s="303"/>
      <c r="AT631" s="303"/>
      <c r="AU631" s="303"/>
      <c r="AV631" s="303"/>
      <c r="AW631" s="213"/>
      <c r="AX631" s="213"/>
      <c r="AY631" s="213"/>
      <c r="AZ631" s="213"/>
      <c r="BA631" s="213"/>
      <c r="BB631" s="213"/>
      <c r="BC631" s="213"/>
      <c r="BD631" s="213"/>
      <c r="BE631" s="213"/>
      <c r="BF631" s="213"/>
      <c r="BG631" s="213"/>
      <c r="BH631" s="213"/>
      <c r="BI631" s="213"/>
      <c r="BJ631" s="213"/>
    </row>
    <row r="632" spans="7:62" customFormat="1" ht="15.6">
      <c r="G632" s="52"/>
      <c r="H632" s="52"/>
      <c r="I632" s="52"/>
      <c r="J632" s="52"/>
      <c r="K632" s="53"/>
      <c r="L632" s="52"/>
      <c r="M632" s="52"/>
      <c r="N632" s="52"/>
      <c r="O632" s="52"/>
      <c r="P632" s="52"/>
      <c r="Q632" s="52"/>
      <c r="R632" s="52"/>
      <c r="S632" s="277"/>
      <c r="T632" s="277"/>
      <c r="U632" s="277"/>
      <c r="V632" s="277"/>
      <c r="W632" s="277"/>
      <c r="X632" s="277"/>
      <c r="Y632" s="277"/>
      <c r="Z632" s="277"/>
      <c r="AA632" s="277"/>
      <c r="AB632" s="277"/>
      <c r="AC632" s="277"/>
      <c r="AD632" s="277"/>
      <c r="AE632" s="277"/>
      <c r="AF632" s="277"/>
      <c r="AG632" s="277"/>
      <c r="AH632" s="277"/>
      <c r="AI632" s="277"/>
      <c r="AJ632" s="216"/>
      <c r="AK632" s="304"/>
      <c r="AL632" s="303"/>
      <c r="AM632" s="216"/>
      <c r="AN632" s="304"/>
      <c r="AO632" s="277"/>
      <c r="AP632" s="303"/>
      <c r="AQ632" s="303"/>
      <c r="AR632" s="304"/>
      <c r="AS632" s="303"/>
      <c r="AT632" s="303"/>
      <c r="AU632" s="303"/>
      <c r="AV632" s="303"/>
      <c r="AW632" s="213"/>
      <c r="AX632" s="213"/>
      <c r="AY632" s="213"/>
      <c r="AZ632" s="213"/>
      <c r="BA632" s="213"/>
      <c r="BB632" s="213"/>
      <c r="BC632" s="213"/>
      <c r="BD632" s="213"/>
      <c r="BE632" s="213"/>
      <c r="BF632" s="213"/>
      <c r="BG632" s="213"/>
      <c r="BH632" s="213"/>
      <c r="BI632" s="213"/>
      <c r="BJ632" s="213"/>
    </row>
    <row r="633" spans="7:62" customFormat="1" ht="15.6">
      <c r="G633" s="52"/>
      <c r="H633" s="52"/>
      <c r="I633" s="52"/>
      <c r="J633" s="52"/>
      <c r="K633" s="53"/>
      <c r="L633" s="52"/>
      <c r="M633" s="52"/>
      <c r="N633" s="52"/>
      <c r="O633" s="52"/>
      <c r="P633" s="52"/>
      <c r="Q633" s="52"/>
      <c r="R633" s="52"/>
      <c r="S633" s="277"/>
      <c r="T633" s="277"/>
      <c r="U633" s="277"/>
      <c r="V633" s="277"/>
      <c r="W633" s="277"/>
      <c r="X633" s="277"/>
      <c r="Y633" s="277"/>
      <c r="Z633" s="277"/>
      <c r="AA633" s="277"/>
      <c r="AB633" s="277"/>
      <c r="AC633" s="277"/>
      <c r="AD633" s="277"/>
      <c r="AE633" s="277"/>
      <c r="AF633" s="277"/>
      <c r="AG633" s="277"/>
      <c r="AH633" s="277"/>
      <c r="AI633" s="277"/>
      <c r="AJ633" s="216"/>
      <c r="AK633" s="304"/>
      <c r="AL633" s="303"/>
      <c r="AM633" s="216"/>
      <c r="AN633" s="304"/>
      <c r="AO633" s="277"/>
      <c r="AP633" s="303"/>
      <c r="AQ633" s="303"/>
      <c r="AR633" s="304"/>
      <c r="AS633" s="303"/>
      <c r="AT633" s="303"/>
      <c r="AU633" s="303"/>
      <c r="AV633" s="303"/>
      <c r="AW633" s="213"/>
      <c r="AX633" s="213"/>
      <c r="AY633" s="213"/>
      <c r="AZ633" s="213"/>
      <c r="BA633" s="213"/>
      <c r="BB633" s="213"/>
      <c r="BC633" s="213"/>
      <c r="BD633" s="213"/>
      <c r="BE633" s="213"/>
      <c r="BF633" s="213"/>
      <c r="BG633" s="213"/>
      <c r="BH633" s="213"/>
      <c r="BI633" s="213"/>
      <c r="BJ633" s="213"/>
    </row>
    <row r="634" spans="7:62" customFormat="1" ht="15.6">
      <c r="G634" s="52"/>
      <c r="H634" s="52"/>
      <c r="I634" s="52"/>
      <c r="J634" s="52"/>
      <c r="K634" s="53"/>
      <c r="L634" s="52"/>
      <c r="M634" s="52"/>
      <c r="N634" s="52"/>
      <c r="O634" s="52"/>
      <c r="P634" s="52"/>
      <c r="Q634" s="52"/>
      <c r="R634" s="52"/>
      <c r="S634" s="277"/>
      <c r="T634" s="277"/>
      <c r="U634" s="277"/>
      <c r="V634" s="277"/>
      <c r="W634" s="277"/>
      <c r="X634" s="277"/>
      <c r="Y634" s="277"/>
      <c r="Z634" s="277"/>
      <c r="AA634" s="277"/>
      <c r="AB634" s="277"/>
      <c r="AC634" s="277"/>
      <c r="AD634" s="277"/>
      <c r="AE634" s="277"/>
      <c r="AF634" s="277"/>
      <c r="AG634" s="277"/>
      <c r="AH634" s="277"/>
      <c r="AI634" s="277"/>
      <c r="AJ634" s="216"/>
      <c r="AK634" s="304"/>
      <c r="AL634" s="303"/>
      <c r="AM634" s="216"/>
      <c r="AN634" s="304"/>
      <c r="AO634" s="277"/>
      <c r="AP634" s="303"/>
      <c r="AQ634" s="303"/>
      <c r="AR634" s="304"/>
      <c r="AS634" s="303"/>
      <c r="AT634" s="303"/>
      <c r="AU634" s="303"/>
      <c r="AV634" s="303"/>
      <c r="AW634" s="213"/>
      <c r="AX634" s="213"/>
      <c r="AY634" s="213"/>
      <c r="AZ634" s="213"/>
      <c r="BA634" s="213"/>
      <c r="BB634" s="213"/>
      <c r="BC634" s="213"/>
      <c r="BD634" s="213"/>
      <c r="BE634" s="213"/>
      <c r="BF634" s="213"/>
      <c r="BG634" s="213"/>
      <c r="BH634" s="213"/>
      <c r="BI634" s="213"/>
      <c r="BJ634" s="213"/>
    </row>
    <row r="635" spans="7:62" customFormat="1" ht="15.6">
      <c r="G635" s="52"/>
      <c r="H635" s="52"/>
      <c r="I635" s="52"/>
      <c r="J635" s="52"/>
      <c r="K635" s="53"/>
      <c r="L635" s="52"/>
      <c r="M635" s="52"/>
      <c r="N635" s="52"/>
      <c r="O635" s="52"/>
      <c r="P635" s="52"/>
      <c r="Q635" s="52"/>
      <c r="R635" s="52"/>
      <c r="S635" s="277"/>
      <c r="T635" s="277"/>
      <c r="U635" s="277"/>
      <c r="V635" s="277"/>
      <c r="W635" s="277"/>
      <c r="X635" s="277"/>
      <c r="Y635" s="277"/>
      <c r="Z635" s="277"/>
      <c r="AA635" s="277"/>
      <c r="AB635" s="277"/>
      <c r="AC635" s="277"/>
      <c r="AD635" s="277"/>
      <c r="AE635" s="277"/>
      <c r="AF635" s="277"/>
      <c r="AG635" s="277"/>
      <c r="AH635" s="277"/>
      <c r="AI635" s="277"/>
      <c r="AJ635" s="216"/>
      <c r="AK635" s="304"/>
      <c r="AL635" s="303"/>
      <c r="AM635" s="216"/>
      <c r="AN635" s="304"/>
      <c r="AO635" s="277"/>
      <c r="AP635" s="303"/>
      <c r="AQ635" s="303"/>
      <c r="AR635" s="304"/>
      <c r="AS635" s="303"/>
      <c r="AT635" s="303"/>
      <c r="AU635" s="303"/>
      <c r="AV635" s="303"/>
      <c r="AW635" s="213"/>
      <c r="AX635" s="213"/>
      <c r="AY635" s="213"/>
      <c r="AZ635" s="213"/>
      <c r="BA635" s="213"/>
      <c r="BB635" s="213"/>
      <c r="BC635" s="213"/>
      <c r="BD635" s="213"/>
      <c r="BE635" s="213"/>
      <c r="BF635" s="213"/>
      <c r="BG635" s="213"/>
      <c r="BH635" s="213"/>
      <c r="BI635" s="213"/>
      <c r="BJ635" s="213"/>
    </row>
    <row r="636" spans="7:62" customFormat="1" ht="15.6">
      <c r="G636" s="52"/>
      <c r="H636" s="52"/>
      <c r="I636" s="52"/>
      <c r="J636" s="52"/>
      <c r="K636" s="53"/>
      <c r="L636" s="52"/>
      <c r="M636" s="52"/>
      <c r="N636" s="52"/>
      <c r="O636" s="52"/>
      <c r="P636" s="52"/>
      <c r="Q636" s="52"/>
      <c r="R636" s="52"/>
      <c r="S636" s="277"/>
      <c r="T636" s="277"/>
      <c r="U636" s="277"/>
      <c r="V636" s="277"/>
      <c r="W636" s="277"/>
      <c r="X636" s="277"/>
      <c r="Y636" s="277"/>
      <c r="Z636" s="277"/>
      <c r="AA636" s="277"/>
      <c r="AB636" s="277"/>
      <c r="AC636" s="277"/>
      <c r="AD636" s="277"/>
      <c r="AE636" s="277"/>
      <c r="AF636" s="277"/>
      <c r="AG636" s="277"/>
      <c r="AH636" s="277"/>
      <c r="AI636" s="277"/>
      <c r="AJ636" s="216"/>
      <c r="AK636" s="304"/>
      <c r="AL636" s="303"/>
      <c r="AM636" s="216"/>
      <c r="AN636" s="304"/>
      <c r="AO636" s="277"/>
      <c r="AP636" s="303"/>
      <c r="AQ636" s="303"/>
      <c r="AR636" s="304"/>
      <c r="AS636" s="303"/>
      <c r="AT636" s="303"/>
      <c r="AU636" s="303"/>
      <c r="AV636" s="303"/>
      <c r="AW636" s="213"/>
      <c r="AX636" s="213"/>
      <c r="AY636" s="213"/>
      <c r="AZ636" s="213"/>
      <c r="BA636" s="213"/>
      <c r="BB636" s="213"/>
      <c r="BC636" s="213"/>
      <c r="BD636" s="213"/>
      <c r="BE636" s="213"/>
      <c r="BF636" s="213"/>
      <c r="BG636" s="213"/>
      <c r="BH636" s="213"/>
      <c r="BI636" s="213"/>
      <c r="BJ636" s="213"/>
    </row>
    <row r="637" spans="7:62" customFormat="1" ht="15.6">
      <c r="S637" s="277"/>
      <c r="T637" s="277"/>
      <c r="U637" s="277"/>
      <c r="V637" s="277"/>
      <c r="W637" s="277"/>
      <c r="X637" s="277"/>
      <c r="Y637" s="277"/>
      <c r="Z637" s="277"/>
      <c r="AA637" s="277"/>
      <c r="AB637" s="277"/>
      <c r="AC637" s="277"/>
      <c r="AD637" s="277"/>
      <c r="AE637" s="277"/>
      <c r="AF637" s="277"/>
      <c r="AG637" s="277"/>
      <c r="AH637" s="277"/>
      <c r="AI637" s="277"/>
      <c r="AJ637" s="216"/>
      <c r="AK637" s="304"/>
      <c r="AL637" s="303"/>
      <c r="AM637" s="216"/>
      <c r="AN637" s="304"/>
      <c r="AO637" s="277"/>
      <c r="AP637" s="303"/>
      <c r="AQ637" s="303"/>
      <c r="AR637" s="304"/>
      <c r="AS637" s="303"/>
      <c r="AT637" s="303"/>
      <c r="AU637" s="303"/>
      <c r="AV637" s="303"/>
      <c r="AW637" s="213"/>
      <c r="AX637" s="213"/>
      <c r="AY637" s="213"/>
      <c r="AZ637" s="213"/>
      <c r="BA637" s="213"/>
      <c r="BB637" s="213"/>
      <c r="BC637" s="213"/>
      <c r="BD637" s="213"/>
      <c r="BE637" s="213"/>
      <c r="BF637" s="213"/>
      <c r="BG637" s="213"/>
      <c r="BH637" s="213"/>
      <c r="BI637" s="213"/>
      <c r="BJ637" s="213"/>
    </row>
    <row r="638" spans="7:62" customFormat="1" ht="15.6">
      <c r="S638" s="277"/>
      <c r="T638" s="277"/>
      <c r="U638" s="277"/>
      <c r="V638" s="277"/>
      <c r="W638" s="277"/>
      <c r="X638" s="277"/>
      <c r="Y638" s="277"/>
      <c r="Z638" s="277"/>
      <c r="AA638" s="277"/>
      <c r="AB638" s="277"/>
      <c r="AC638" s="277"/>
      <c r="AD638" s="277"/>
      <c r="AE638" s="277"/>
      <c r="AF638" s="277"/>
      <c r="AG638" s="277"/>
      <c r="AH638" s="277"/>
      <c r="AI638" s="277"/>
      <c r="AJ638" s="216"/>
      <c r="AK638" s="304"/>
      <c r="AL638" s="303"/>
      <c r="AM638" s="216"/>
      <c r="AN638" s="304"/>
      <c r="AO638" s="277"/>
      <c r="AP638" s="303"/>
      <c r="AQ638" s="303"/>
      <c r="AR638" s="304"/>
      <c r="AS638" s="303"/>
      <c r="AT638" s="303"/>
      <c r="AU638" s="303"/>
      <c r="AV638" s="303"/>
      <c r="AW638" s="213"/>
      <c r="AX638" s="213"/>
      <c r="AY638" s="213"/>
      <c r="AZ638" s="213"/>
      <c r="BA638" s="213"/>
      <c r="BB638" s="213"/>
      <c r="BC638" s="213"/>
      <c r="BD638" s="213"/>
      <c r="BE638" s="213"/>
      <c r="BF638" s="213"/>
      <c r="BG638" s="213"/>
      <c r="BH638" s="213"/>
      <c r="BI638" s="213"/>
      <c r="BJ638" s="213"/>
    </row>
    <row r="639" spans="7:62" customFormat="1" ht="15.6">
      <c r="S639" s="277"/>
      <c r="T639" s="277"/>
      <c r="U639" s="277"/>
      <c r="V639" s="277"/>
      <c r="W639" s="277"/>
      <c r="X639" s="277"/>
      <c r="Y639" s="277"/>
      <c r="Z639" s="277"/>
      <c r="AA639" s="277"/>
      <c r="AB639" s="277"/>
      <c r="AC639" s="277"/>
      <c r="AD639" s="277"/>
      <c r="AE639" s="277"/>
      <c r="AF639" s="277"/>
      <c r="AG639" s="277"/>
      <c r="AH639" s="277"/>
      <c r="AI639" s="277"/>
      <c r="AJ639" s="216"/>
      <c r="AK639" s="304"/>
      <c r="AL639" s="303"/>
      <c r="AM639" s="216"/>
      <c r="AN639" s="304"/>
      <c r="AO639" s="277"/>
      <c r="AP639" s="303"/>
      <c r="AQ639" s="303"/>
      <c r="AR639" s="304"/>
      <c r="AS639" s="303"/>
      <c r="AT639" s="303"/>
      <c r="AU639" s="303"/>
      <c r="AV639" s="303"/>
      <c r="AW639" s="213"/>
      <c r="AX639" s="213"/>
      <c r="AY639" s="213"/>
      <c r="AZ639" s="213"/>
      <c r="BA639" s="213"/>
      <c r="BB639" s="213"/>
      <c r="BC639" s="213"/>
      <c r="BD639" s="213"/>
      <c r="BE639" s="213"/>
      <c r="BF639" s="213"/>
      <c r="BG639" s="213"/>
      <c r="BH639" s="213"/>
      <c r="BI639" s="213"/>
      <c r="BJ639" s="213"/>
    </row>
    <row r="640" spans="7:62" customFormat="1" ht="15.6">
      <c r="S640" s="277"/>
      <c r="T640" s="277"/>
      <c r="U640" s="277"/>
      <c r="V640" s="277"/>
      <c r="W640" s="277"/>
      <c r="X640" s="277"/>
      <c r="Y640" s="277"/>
      <c r="Z640" s="277"/>
      <c r="AA640" s="277"/>
      <c r="AB640" s="277"/>
      <c r="AC640" s="277"/>
      <c r="AD640" s="277"/>
      <c r="AE640" s="277"/>
      <c r="AF640" s="277"/>
      <c r="AG640" s="277"/>
      <c r="AH640" s="277"/>
      <c r="AI640" s="277"/>
      <c r="AJ640" s="216"/>
      <c r="AK640" s="304"/>
      <c r="AL640" s="303"/>
      <c r="AM640" s="216"/>
      <c r="AN640" s="304"/>
      <c r="AO640" s="277"/>
      <c r="AP640" s="303"/>
      <c r="AQ640" s="303"/>
      <c r="AR640" s="304"/>
      <c r="AS640" s="303"/>
      <c r="AT640" s="303"/>
      <c r="AU640" s="303"/>
      <c r="AV640" s="303"/>
      <c r="AW640" s="213"/>
      <c r="AX640" s="213"/>
      <c r="AY640" s="213"/>
      <c r="AZ640" s="213"/>
      <c r="BA640" s="213"/>
      <c r="BB640" s="213"/>
      <c r="BC640" s="213"/>
      <c r="BD640" s="213"/>
      <c r="BE640" s="213"/>
      <c r="BF640" s="213"/>
      <c r="BG640" s="213"/>
      <c r="BH640" s="213"/>
      <c r="BI640" s="213"/>
      <c r="BJ640" s="213"/>
    </row>
    <row r="641" spans="19:62" customFormat="1" ht="15.6">
      <c r="S641" s="277"/>
      <c r="T641" s="277"/>
      <c r="U641" s="277"/>
      <c r="V641" s="277"/>
      <c r="W641" s="277"/>
      <c r="X641" s="277"/>
      <c r="Y641" s="277"/>
      <c r="Z641" s="277"/>
      <c r="AA641" s="277"/>
      <c r="AB641" s="277"/>
      <c r="AC641" s="277"/>
      <c r="AD641" s="277"/>
      <c r="AE641" s="277"/>
      <c r="AF641" s="277"/>
      <c r="AG641" s="277"/>
      <c r="AH641" s="277"/>
      <c r="AI641" s="277"/>
      <c r="AJ641" s="216"/>
      <c r="AK641" s="304"/>
      <c r="AL641" s="303"/>
      <c r="AM641" s="216"/>
      <c r="AN641" s="312"/>
      <c r="AO641" s="277"/>
      <c r="AP641" s="303"/>
      <c r="AQ641" s="303"/>
      <c r="AR641" s="304"/>
      <c r="AS641" s="303"/>
      <c r="AT641" s="303"/>
      <c r="AU641" s="303"/>
      <c r="AV641" s="303"/>
      <c r="AW641" s="213"/>
      <c r="AX641" s="213"/>
      <c r="AY641" s="213"/>
      <c r="AZ641" s="213"/>
      <c r="BA641" s="213"/>
      <c r="BB641" s="213"/>
      <c r="BC641" s="213"/>
      <c r="BD641" s="213"/>
      <c r="BE641" s="213"/>
      <c r="BF641" s="213"/>
      <c r="BG641" s="213"/>
      <c r="BH641" s="213"/>
      <c r="BI641" s="213"/>
      <c r="BJ641" s="213"/>
    </row>
    <row r="642" spans="19:62" customFormat="1" ht="15.6">
      <c r="S642" s="277"/>
      <c r="T642" s="277"/>
      <c r="U642" s="277"/>
      <c r="V642" s="277"/>
      <c r="W642" s="277"/>
      <c r="X642" s="277"/>
      <c r="Y642" s="277"/>
      <c r="Z642" s="277"/>
      <c r="AA642" s="277"/>
      <c r="AB642" s="277"/>
      <c r="AC642" s="277"/>
      <c r="AD642" s="277"/>
      <c r="AE642" s="277"/>
      <c r="AF642" s="277"/>
      <c r="AG642" s="277"/>
      <c r="AH642" s="277"/>
      <c r="AI642" s="277"/>
      <c r="AJ642" s="216"/>
      <c r="AK642" s="304"/>
      <c r="AL642" s="303"/>
      <c r="AM642" s="303"/>
      <c r="AN642" s="304"/>
      <c r="AO642" s="277"/>
      <c r="AP642" s="303"/>
      <c r="AQ642" s="303"/>
      <c r="AR642" s="304"/>
      <c r="AS642" s="303"/>
      <c r="AT642" s="303"/>
      <c r="AU642" s="303"/>
      <c r="AV642" s="303"/>
      <c r="AW642" s="213"/>
      <c r="AX642" s="213"/>
      <c r="AY642" s="213"/>
      <c r="AZ642" s="213"/>
      <c r="BA642" s="213"/>
      <c r="BB642" s="213"/>
      <c r="BC642" s="213"/>
      <c r="BD642" s="213"/>
      <c r="BE642" s="213"/>
      <c r="BF642" s="213"/>
      <c r="BG642" s="213"/>
      <c r="BH642" s="213"/>
      <c r="BI642" s="213"/>
      <c r="BJ642" s="213"/>
    </row>
    <row r="643" spans="19:62" customFormat="1" ht="15.6">
      <c r="S643" s="277"/>
      <c r="T643" s="277"/>
      <c r="U643" s="277"/>
      <c r="V643" s="277"/>
      <c r="W643" s="277"/>
      <c r="X643" s="277"/>
      <c r="Y643" s="277"/>
      <c r="Z643" s="277"/>
      <c r="AA643" s="277"/>
      <c r="AB643" s="277"/>
      <c r="AC643" s="277"/>
      <c r="AD643" s="277"/>
      <c r="AE643" s="277"/>
      <c r="AF643" s="277"/>
      <c r="AG643" s="277"/>
      <c r="AH643" s="277"/>
      <c r="AI643" s="277"/>
      <c r="AJ643" s="216"/>
      <c r="AK643" s="304"/>
      <c r="AL643" s="303"/>
      <c r="AM643" s="303"/>
      <c r="AN643" s="304"/>
      <c r="AO643" s="277"/>
      <c r="AP643" s="303"/>
      <c r="AQ643" s="303"/>
      <c r="AR643" s="304"/>
      <c r="AS643" s="303"/>
      <c r="AT643" s="303"/>
      <c r="AU643" s="303"/>
      <c r="AV643" s="303"/>
      <c r="AW643" s="213"/>
      <c r="AX643" s="213"/>
      <c r="AY643" s="213"/>
      <c r="AZ643" s="213"/>
      <c r="BA643" s="213"/>
      <c r="BB643" s="213"/>
      <c r="BC643" s="213"/>
      <c r="BD643" s="213"/>
      <c r="BE643" s="213"/>
      <c r="BF643" s="213"/>
      <c r="BG643" s="213"/>
      <c r="BH643" s="213"/>
      <c r="BI643" s="213"/>
      <c r="BJ643" s="213"/>
    </row>
    <row r="644" spans="19:62" customFormat="1" ht="15.6">
      <c r="S644" s="277"/>
      <c r="T644" s="277"/>
      <c r="U644" s="277"/>
      <c r="V644" s="277"/>
      <c r="W644" s="277"/>
      <c r="X644" s="277"/>
      <c r="Y644" s="277"/>
      <c r="Z644" s="277"/>
      <c r="AA644" s="277"/>
      <c r="AB644" s="277"/>
      <c r="AC644" s="277"/>
      <c r="AD644" s="277"/>
      <c r="AE644" s="277"/>
      <c r="AF644" s="277"/>
      <c r="AG644" s="277"/>
      <c r="AH644" s="277"/>
      <c r="AI644" s="277"/>
      <c r="AJ644" s="216"/>
      <c r="AK644" s="304"/>
      <c r="AL644" s="303"/>
      <c r="AM644" s="303"/>
      <c r="AN644" s="304"/>
      <c r="AO644" s="277"/>
      <c r="AP644" s="303"/>
      <c r="AQ644" s="303"/>
      <c r="AR644" s="304"/>
      <c r="AS644" s="303"/>
      <c r="AT644" s="303"/>
      <c r="AU644" s="303"/>
      <c r="AV644" s="303"/>
      <c r="AW644" s="213"/>
      <c r="AX644" s="213"/>
      <c r="AY644" s="213"/>
      <c r="AZ644" s="213"/>
      <c r="BA644" s="213"/>
      <c r="BB644" s="213"/>
      <c r="BC644" s="213"/>
      <c r="BD644" s="213"/>
      <c r="BE644" s="213"/>
      <c r="BF644" s="213"/>
      <c r="BG644" s="213"/>
      <c r="BH644" s="213"/>
      <c r="BI644" s="213"/>
      <c r="BJ644" s="213"/>
    </row>
    <row r="645" spans="19:62" customFormat="1" ht="15.6">
      <c r="S645" s="277"/>
      <c r="T645" s="277"/>
      <c r="U645" s="277"/>
      <c r="V645" s="277"/>
      <c r="W645" s="277"/>
      <c r="X645" s="277"/>
      <c r="Y645" s="277"/>
      <c r="Z645" s="277"/>
      <c r="AA645" s="277"/>
      <c r="AB645" s="277"/>
      <c r="AC645" s="277"/>
      <c r="AD645" s="277"/>
      <c r="AE645" s="277"/>
      <c r="AF645" s="277"/>
      <c r="AG645" s="277"/>
      <c r="AH645" s="277"/>
      <c r="AI645" s="277"/>
      <c r="AJ645" s="216"/>
      <c r="AK645" s="304"/>
      <c r="AL645" s="303"/>
      <c r="AM645" s="303"/>
      <c r="AN645" s="304"/>
      <c r="AO645" s="277"/>
      <c r="AP645" s="303"/>
      <c r="AQ645" s="303"/>
      <c r="AR645" s="304"/>
      <c r="AS645" s="303"/>
      <c r="AT645" s="303"/>
      <c r="AU645" s="303"/>
      <c r="AV645" s="303"/>
      <c r="AW645" s="213"/>
      <c r="AX645" s="213"/>
      <c r="AY645" s="213"/>
      <c r="AZ645" s="213"/>
      <c r="BA645" s="213"/>
      <c r="BB645" s="213"/>
      <c r="BC645" s="213"/>
      <c r="BD645" s="213"/>
      <c r="BE645" s="213"/>
      <c r="BF645" s="213"/>
      <c r="BG645" s="213"/>
      <c r="BH645" s="213"/>
      <c r="BI645" s="213"/>
      <c r="BJ645" s="213"/>
    </row>
    <row r="646" spans="19:62" customFormat="1" ht="15.6">
      <c r="S646" s="277"/>
      <c r="T646" s="277"/>
      <c r="U646" s="277"/>
      <c r="V646" s="277"/>
      <c r="W646" s="277"/>
      <c r="X646" s="277"/>
      <c r="Y646" s="277"/>
      <c r="Z646" s="277"/>
      <c r="AA646" s="277"/>
      <c r="AB646" s="277"/>
      <c r="AC646" s="277"/>
      <c r="AD646" s="277"/>
      <c r="AE646" s="277"/>
      <c r="AF646" s="277"/>
      <c r="AG646" s="277"/>
      <c r="AH646" s="277"/>
      <c r="AI646" s="277"/>
      <c r="AJ646" s="216"/>
      <c r="AK646" s="304"/>
      <c r="AL646" s="303"/>
      <c r="AM646" s="303"/>
      <c r="AN646" s="304"/>
      <c r="AO646" s="277"/>
      <c r="AP646" s="303"/>
      <c r="AQ646" s="303"/>
      <c r="AR646" s="304"/>
      <c r="AS646" s="303"/>
      <c r="AT646" s="303"/>
      <c r="AU646" s="303"/>
      <c r="AV646" s="303"/>
      <c r="AW646" s="213"/>
      <c r="AX646" s="213"/>
      <c r="AY646" s="213"/>
      <c r="AZ646" s="213"/>
      <c r="BA646" s="213"/>
      <c r="BB646" s="213"/>
      <c r="BC646" s="213"/>
      <c r="BD646" s="213"/>
      <c r="BE646" s="213"/>
      <c r="BF646" s="213"/>
      <c r="BG646" s="213"/>
      <c r="BH646" s="213"/>
      <c r="BI646" s="213"/>
      <c r="BJ646" s="213"/>
    </row>
    <row r="647" spans="19:62" customFormat="1" ht="15.6">
      <c r="S647" s="277"/>
      <c r="T647" s="277"/>
      <c r="U647" s="277"/>
      <c r="V647" s="277"/>
      <c r="W647" s="277"/>
      <c r="X647" s="277"/>
      <c r="Y647" s="277"/>
      <c r="Z647" s="277"/>
      <c r="AA647" s="277"/>
      <c r="AB647" s="277"/>
      <c r="AC647" s="277"/>
      <c r="AD647" s="277"/>
      <c r="AE647" s="277"/>
      <c r="AF647" s="277"/>
      <c r="AG647" s="277"/>
      <c r="AH647" s="277"/>
      <c r="AI647" s="277"/>
      <c r="AJ647" s="216"/>
      <c r="AK647" s="304"/>
      <c r="AL647" s="303"/>
      <c r="AM647" s="303"/>
      <c r="AN647" s="304"/>
      <c r="AO647" s="277"/>
      <c r="AP647" s="303"/>
      <c r="AQ647" s="303"/>
      <c r="AR647" s="304"/>
      <c r="AS647" s="303"/>
      <c r="AT647" s="303"/>
      <c r="AU647" s="303"/>
      <c r="AV647" s="303"/>
      <c r="AW647" s="213"/>
      <c r="AX647" s="213"/>
      <c r="AY647" s="213"/>
      <c r="AZ647" s="213"/>
      <c r="BA647" s="213"/>
      <c r="BB647" s="213"/>
      <c r="BC647" s="213"/>
      <c r="BD647" s="213"/>
      <c r="BE647" s="213"/>
      <c r="BF647" s="213"/>
      <c r="BG647" s="213"/>
      <c r="BH647" s="213"/>
      <c r="BI647" s="213"/>
      <c r="BJ647" s="213"/>
    </row>
    <row r="648" spans="19:62" customFormat="1" ht="15.6">
      <c r="S648" s="277"/>
      <c r="T648" s="277"/>
      <c r="U648" s="277"/>
      <c r="V648" s="277"/>
      <c r="W648" s="277"/>
      <c r="X648" s="277"/>
      <c r="Y648" s="277"/>
      <c r="Z648" s="277"/>
      <c r="AA648" s="277"/>
      <c r="AB648" s="277"/>
      <c r="AC648" s="277"/>
      <c r="AD648" s="277"/>
      <c r="AE648" s="277"/>
      <c r="AF648" s="277"/>
      <c r="AG648" s="277"/>
      <c r="AH648" s="277"/>
      <c r="AI648" s="277"/>
      <c r="AJ648" s="216"/>
      <c r="AK648" s="304"/>
      <c r="AL648" s="303"/>
      <c r="AM648" s="303"/>
      <c r="AN648" s="304"/>
      <c r="AO648" s="277"/>
      <c r="AP648" s="303"/>
      <c r="AQ648" s="303"/>
      <c r="AR648" s="304"/>
      <c r="AS648" s="303"/>
      <c r="AT648" s="303"/>
      <c r="AU648" s="303"/>
      <c r="AV648" s="303"/>
      <c r="AW648" s="213"/>
      <c r="AX648" s="213"/>
      <c r="AY648" s="213"/>
      <c r="AZ648" s="213"/>
      <c r="BA648" s="213"/>
      <c r="BB648" s="213"/>
      <c r="BC648" s="213"/>
      <c r="BD648" s="213"/>
      <c r="BE648" s="213"/>
      <c r="BF648" s="213"/>
      <c r="BG648" s="213"/>
      <c r="BH648" s="213"/>
      <c r="BI648" s="213"/>
      <c r="BJ648" s="213"/>
    </row>
    <row r="649" spans="19:62" customFormat="1" ht="15.6">
      <c r="S649" s="277"/>
      <c r="T649" s="277"/>
      <c r="U649" s="277"/>
      <c r="V649" s="277"/>
      <c r="W649" s="277"/>
      <c r="X649" s="277"/>
      <c r="Y649" s="277"/>
      <c r="Z649" s="277"/>
      <c r="AA649" s="277"/>
      <c r="AB649" s="277"/>
      <c r="AC649" s="277"/>
      <c r="AD649" s="277"/>
      <c r="AE649" s="277"/>
      <c r="AF649" s="277"/>
      <c r="AG649" s="277"/>
      <c r="AH649" s="277"/>
      <c r="AI649" s="277"/>
      <c r="AJ649" s="216"/>
      <c r="AK649" s="304"/>
      <c r="AL649" s="303"/>
      <c r="AM649" s="303"/>
      <c r="AN649" s="304"/>
      <c r="AO649" s="277"/>
      <c r="AP649" s="303"/>
      <c r="AQ649" s="303"/>
      <c r="AR649" s="304"/>
      <c r="AS649" s="303"/>
      <c r="AT649" s="303"/>
      <c r="AU649" s="303"/>
      <c r="AV649" s="303"/>
      <c r="AW649" s="213"/>
      <c r="AX649" s="213"/>
      <c r="AY649" s="213"/>
      <c r="AZ649" s="213"/>
      <c r="BA649" s="213"/>
      <c r="BB649" s="213"/>
      <c r="BC649" s="213"/>
      <c r="BD649" s="213"/>
      <c r="BE649" s="213"/>
      <c r="BF649" s="213"/>
      <c r="BG649" s="213"/>
      <c r="BH649" s="213"/>
      <c r="BI649" s="213"/>
      <c r="BJ649" s="213"/>
    </row>
    <row r="650" spans="19:62" customFormat="1" ht="15.6">
      <c r="S650" s="277"/>
      <c r="T650" s="277"/>
      <c r="U650" s="277"/>
      <c r="V650" s="277"/>
      <c r="W650" s="277"/>
      <c r="X650" s="277"/>
      <c r="Y650" s="277"/>
      <c r="Z650" s="277"/>
      <c r="AA650" s="277"/>
      <c r="AB650" s="277"/>
      <c r="AC650" s="277"/>
      <c r="AD650" s="277"/>
      <c r="AE650" s="277"/>
      <c r="AF650" s="277"/>
      <c r="AG650" s="277"/>
      <c r="AH650" s="277"/>
      <c r="AI650" s="277"/>
      <c r="AJ650" s="216"/>
      <c r="AK650" s="304"/>
      <c r="AL650" s="303"/>
      <c r="AM650" s="303"/>
      <c r="AN650" s="304"/>
      <c r="AO650" s="277"/>
      <c r="AP650" s="303"/>
      <c r="AQ650" s="303"/>
      <c r="AR650" s="304"/>
      <c r="AS650" s="303"/>
      <c r="AT650" s="303"/>
      <c r="AU650" s="303"/>
      <c r="AV650" s="303"/>
      <c r="AW650" s="213"/>
      <c r="AX650" s="213"/>
      <c r="AY650" s="213"/>
      <c r="AZ650" s="213"/>
      <c r="BA650" s="213"/>
      <c r="BB650" s="213"/>
      <c r="BC650" s="213"/>
      <c r="BD650" s="213"/>
      <c r="BE650" s="213"/>
      <c r="BF650" s="213"/>
      <c r="BG650" s="213"/>
      <c r="BH650" s="213"/>
      <c r="BI650" s="213"/>
      <c r="BJ650" s="213"/>
    </row>
    <row r="651" spans="19:62" customFormat="1" ht="15.6">
      <c r="S651" s="277"/>
      <c r="T651" s="277"/>
      <c r="U651" s="277"/>
      <c r="V651" s="277"/>
      <c r="W651" s="277"/>
      <c r="X651" s="277"/>
      <c r="Y651" s="277"/>
      <c r="Z651" s="277"/>
      <c r="AA651" s="277"/>
      <c r="AB651" s="277"/>
      <c r="AC651" s="277"/>
      <c r="AD651" s="277"/>
      <c r="AE651" s="277"/>
      <c r="AF651" s="277"/>
      <c r="AG651" s="277"/>
      <c r="AH651" s="277"/>
      <c r="AI651" s="277"/>
      <c r="AJ651" s="216"/>
      <c r="AK651" s="304"/>
      <c r="AL651" s="303"/>
      <c r="AM651" s="303"/>
      <c r="AN651" s="304"/>
      <c r="AO651" s="277"/>
      <c r="AP651" s="303"/>
      <c r="AQ651" s="303"/>
      <c r="AR651" s="304"/>
      <c r="AS651" s="303"/>
      <c r="AT651" s="303"/>
      <c r="AU651" s="303"/>
      <c r="AV651" s="303"/>
      <c r="AW651" s="213"/>
      <c r="AX651" s="213"/>
      <c r="AY651" s="213"/>
      <c r="AZ651" s="213"/>
      <c r="BA651" s="213"/>
      <c r="BB651" s="213"/>
      <c r="BC651" s="213"/>
      <c r="BD651" s="213"/>
      <c r="BE651" s="213"/>
      <c r="BF651" s="213"/>
      <c r="BG651" s="213"/>
      <c r="BH651" s="213"/>
      <c r="BI651" s="213"/>
      <c r="BJ651" s="213"/>
    </row>
    <row r="652" spans="19:62" customFormat="1" ht="15.6">
      <c r="S652" s="277"/>
      <c r="T652" s="277"/>
      <c r="U652" s="277"/>
      <c r="V652" s="277"/>
      <c r="W652" s="277"/>
      <c r="X652" s="277"/>
      <c r="Y652" s="277"/>
      <c r="Z652" s="277"/>
      <c r="AA652" s="277"/>
      <c r="AB652" s="277"/>
      <c r="AC652" s="277"/>
      <c r="AD652" s="277"/>
      <c r="AE652" s="277"/>
      <c r="AF652" s="277"/>
      <c r="AG652" s="277"/>
      <c r="AH652" s="277"/>
      <c r="AI652" s="277"/>
      <c r="AJ652" s="216"/>
      <c r="AK652" s="304"/>
      <c r="AL652" s="303"/>
      <c r="AM652" s="303"/>
      <c r="AN652" s="304"/>
      <c r="AO652" s="277"/>
      <c r="AP652" s="303"/>
      <c r="AQ652" s="303"/>
      <c r="AR652" s="304"/>
      <c r="AS652" s="303"/>
      <c r="AT652" s="303"/>
      <c r="AU652" s="303"/>
      <c r="AV652" s="303"/>
      <c r="AW652" s="213"/>
      <c r="AX652" s="213"/>
      <c r="AY652" s="213"/>
      <c r="AZ652" s="213"/>
      <c r="BA652" s="213"/>
      <c r="BB652" s="213"/>
      <c r="BC652" s="213"/>
      <c r="BD652" s="213"/>
      <c r="BE652" s="213"/>
      <c r="BF652" s="213"/>
      <c r="BG652" s="213"/>
      <c r="BH652" s="213"/>
      <c r="BI652" s="213"/>
      <c r="BJ652" s="213"/>
    </row>
    <row r="653" spans="19:62" customFormat="1" ht="15.6">
      <c r="S653" s="277"/>
      <c r="T653" s="277"/>
      <c r="U653" s="277"/>
      <c r="V653" s="277"/>
      <c r="W653" s="277"/>
      <c r="X653" s="277"/>
      <c r="Y653" s="277"/>
      <c r="Z653" s="277"/>
      <c r="AA653" s="277"/>
      <c r="AB653" s="277"/>
      <c r="AC653" s="277"/>
      <c r="AD653" s="277"/>
      <c r="AE653" s="277"/>
      <c r="AF653" s="277"/>
      <c r="AG653" s="277"/>
      <c r="AH653" s="277"/>
      <c r="AI653" s="277"/>
      <c r="AJ653" s="216"/>
      <c r="AK653" s="304"/>
      <c r="AL653" s="303"/>
      <c r="AM653" s="303"/>
      <c r="AN653" s="304"/>
      <c r="AO653" s="277"/>
      <c r="AP653" s="303"/>
      <c r="AQ653" s="303"/>
      <c r="AR653" s="304"/>
      <c r="AS653" s="303"/>
      <c r="AT653" s="303"/>
      <c r="AU653" s="303"/>
      <c r="AV653" s="303"/>
      <c r="AW653" s="213"/>
      <c r="AX653" s="213"/>
      <c r="AY653" s="213"/>
      <c r="AZ653" s="213"/>
      <c r="BA653" s="213"/>
      <c r="BB653" s="213"/>
      <c r="BC653" s="213"/>
      <c r="BD653" s="213"/>
      <c r="BE653" s="213"/>
      <c r="BF653" s="213"/>
      <c r="BG653" s="213"/>
      <c r="BH653" s="213"/>
      <c r="BI653" s="213"/>
      <c r="BJ653" s="213"/>
    </row>
    <row r="654" spans="19:62" customFormat="1" ht="15.6">
      <c r="S654" s="277"/>
      <c r="T654" s="277"/>
      <c r="U654" s="277"/>
      <c r="V654" s="277"/>
      <c r="W654" s="277"/>
      <c r="X654" s="277"/>
      <c r="Y654" s="277"/>
      <c r="Z654" s="277"/>
      <c r="AA654" s="277"/>
      <c r="AB654" s="277"/>
      <c r="AC654" s="277"/>
      <c r="AD654" s="277"/>
      <c r="AE654" s="277"/>
      <c r="AF654" s="277"/>
      <c r="AG654" s="277"/>
      <c r="AH654" s="277"/>
      <c r="AI654" s="277"/>
      <c r="AJ654" s="216"/>
      <c r="AK654" s="304"/>
      <c r="AL654" s="303"/>
      <c r="AM654" s="303"/>
      <c r="AN654" s="304"/>
      <c r="AO654" s="277"/>
      <c r="AP654" s="303"/>
      <c r="AQ654" s="303"/>
      <c r="AR654" s="304"/>
      <c r="AS654" s="303"/>
      <c r="AT654" s="303"/>
      <c r="AU654" s="303"/>
      <c r="AV654" s="303"/>
      <c r="AW654" s="213"/>
      <c r="AX654" s="213"/>
      <c r="AY654" s="213"/>
      <c r="AZ654" s="213"/>
      <c r="BA654" s="213"/>
      <c r="BB654" s="213"/>
      <c r="BC654" s="213"/>
      <c r="BD654" s="213"/>
      <c r="BE654" s="213"/>
      <c r="BF654" s="213"/>
      <c r="BG654" s="213"/>
      <c r="BH654" s="213"/>
      <c r="BI654" s="213"/>
      <c r="BJ654" s="213"/>
    </row>
    <row r="655" spans="19:62" customFormat="1" ht="15.6">
      <c r="S655" s="277"/>
      <c r="T655" s="277"/>
      <c r="U655" s="277"/>
      <c r="V655" s="277"/>
      <c r="W655" s="277"/>
      <c r="X655" s="277"/>
      <c r="Y655" s="277"/>
      <c r="Z655" s="277"/>
      <c r="AA655" s="277"/>
      <c r="AB655" s="277"/>
      <c r="AC655" s="277"/>
      <c r="AD655" s="277"/>
      <c r="AE655" s="277"/>
      <c r="AF655" s="277"/>
      <c r="AG655" s="277"/>
      <c r="AH655" s="277"/>
      <c r="AI655" s="277"/>
      <c r="AJ655" s="216"/>
      <c r="AK655" s="304"/>
      <c r="AL655" s="303"/>
      <c r="AM655" s="303"/>
      <c r="AN655" s="304"/>
      <c r="AO655" s="277"/>
      <c r="AP655" s="303"/>
      <c r="AQ655" s="303"/>
      <c r="AR655" s="304"/>
      <c r="AS655" s="303"/>
      <c r="AT655" s="303"/>
      <c r="AU655" s="303"/>
      <c r="AV655" s="303"/>
      <c r="AW655" s="213"/>
      <c r="AX655" s="213"/>
      <c r="AY655" s="213"/>
      <c r="AZ655" s="213"/>
      <c r="BA655" s="213"/>
      <c r="BB655" s="213"/>
      <c r="BC655" s="213"/>
      <c r="BD655" s="213"/>
      <c r="BE655" s="213"/>
      <c r="BF655" s="213"/>
      <c r="BG655" s="213"/>
      <c r="BH655" s="213"/>
      <c r="BI655" s="213"/>
      <c r="BJ655" s="213"/>
    </row>
    <row r="656" spans="19:62" customFormat="1" ht="15.6">
      <c r="S656" s="277"/>
      <c r="T656" s="277"/>
      <c r="U656" s="277"/>
      <c r="V656" s="277"/>
      <c r="W656" s="277"/>
      <c r="X656" s="277"/>
      <c r="Y656" s="277"/>
      <c r="Z656" s="277"/>
      <c r="AA656" s="277"/>
      <c r="AB656" s="277"/>
      <c r="AC656" s="277"/>
      <c r="AD656" s="277"/>
      <c r="AE656" s="277"/>
      <c r="AF656" s="277"/>
      <c r="AG656" s="277"/>
      <c r="AH656" s="277"/>
      <c r="AI656" s="277"/>
      <c r="AJ656" s="216"/>
      <c r="AK656" s="304"/>
      <c r="AL656" s="303"/>
      <c r="AM656" s="303"/>
      <c r="AN656" s="304"/>
      <c r="AO656" s="277"/>
      <c r="AP656" s="303"/>
      <c r="AQ656" s="303"/>
      <c r="AR656" s="304"/>
      <c r="AS656" s="303"/>
      <c r="AT656" s="303"/>
      <c r="AU656" s="303"/>
      <c r="AV656" s="303"/>
      <c r="AW656" s="213"/>
      <c r="AX656" s="213"/>
      <c r="AY656" s="213"/>
      <c r="AZ656" s="213"/>
      <c r="BA656" s="213"/>
      <c r="BB656" s="213"/>
      <c r="BC656" s="213"/>
      <c r="BD656" s="213"/>
      <c r="BE656" s="213"/>
      <c r="BF656" s="213"/>
      <c r="BG656" s="213"/>
      <c r="BH656" s="213"/>
      <c r="BI656" s="213"/>
      <c r="BJ656" s="213"/>
    </row>
    <row r="657" spans="19:62" customFormat="1" ht="15.6">
      <c r="S657" s="277"/>
      <c r="T657" s="277"/>
      <c r="U657" s="277"/>
      <c r="V657" s="277"/>
      <c r="W657" s="277"/>
      <c r="X657" s="277"/>
      <c r="Y657" s="277"/>
      <c r="Z657" s="277"/>
      <c r="AA657" s="277"/>
      <c r="AB657" s="277"/>
      <c r="AC657" s="277"/>
      <c r="AD657" s="277"/>
      <c r="AE657" s="277"/>
      <c r="AF657" s="277"/>
      <c r="AG657" s="277"/>
      <c r="AH657" s="277"/>
      <c r="AI657" s="277"/>
      <c r="AJ657" s="216"/>
      <c r="AK657" s="304"/>
      <c r="AL657" s="303"/>
      <c r="AM657" s="303"/>
      <c r="AN657" s="304"/>
      <c r="AO657" s="277"/>
      <c r="AP657" s="303"/>
      <c r="AQ657" s="303"/>
      <c r="AR657" s="304"/>
      <c r="AS657" s="303"/>
      <c r="AT657" s="303"/>
      <c r="AU657" s="303"/>
      <c r="AV657" s="303"/>
      <c r="AW657" s="213"/>
      <c r="AX657" s="213"/>
      <c r="AY657" s="213"/>
      <c r="AZ657" s="213"/>
      <c r="BA657" s="213"/>
      <c r="BB657" s="213"/>
      <c r="BC657" s="213"/>
      <c r="BD657" s="213"/>
      <c r="BE657" s="213"/>
      <c r="BF657" s="213"/>
      <c r="BG657" s="213"/>
      <c r="BH657" s="213"/>
      <c r="BI657" s="213"/>
      <c r="BJ657" s="213"/>
    </row>
    <row r="658" spans="19:62" customFormat="1" ht="15.6">
      <c r="S658" s="277"/>
      <c r="T658" s="277"/>
      <c r="U658" s="277"/>
      <c r="V658" s="277"/>
      <c r="W658" s="277"/>
      <c r="X658" s="277"/>
      <c r="Y658" s="277"/>
      <c r="Z658" s="277"/>
      <c r="AA658" s="277"/>
      <c r="AB658" s="277"/>
      <c r="AC658" s="277"/>
      <c r="AD658" s="277"/>
      <c r="AE658" s="277"/>
      <c r="AF658" s="277"/>
      <c r="AG658" s="277"/>
      <c r="AH658" s="277"/>
      <c r="AI658" s="277"/>
      <c r="AJ658" s="216"/>
      <c r="AK658" s="304"/>
      <c r="AL658" s="303"/>
      <c r="AM658" s="303"/>
      <c r="AN658" s="304"/>
      <c r="AO658" s="277"/>
      <c r="AP658" s="303"/>
      <c r="AQ658" s="303"/>
      <c r="AR658" s="304"/>
      <c r="AS658" s="303"/>
      <c r="AT658" s="303"/>
      <c r="AU658" s="303"/>
      <c r="AV658" s="303"/>
      <c r="AW658" s="213"/>
      <c r="AX658" s="213"/>
      <c r="AY658" s="213"/>
      <c r="AZ658" s="213"/>
      <c r="BA658" s="213"/>
      <c r="BB658" s="213"/>
      <c r="BC658" s="213"/>
      <c r="BD658" s="213"/>
      <c r="BE658" s="213"/>
      <c r="BF658" s="213"/>
      <c r="BG658" s="213"/>
      <c r="BH658" s="213"/>
      <c r="BI658" s="213"/>
      <c r="BJ658" s="213"/>
    </row>
    <row r="659" spans="19:62" customFormat="1" ht="15.6">
      <c r="S659" s="277"/>
      <c r="T659" s="277"/>
      <c r="U659" s="277"/>
      <c r="V659" s="277"/>
      <c r="W659" s="277"/>
      <c r="X659" s="277"/>
      <c r="Y659" s="277"/>
      <c r="Z659" s="277"/>
      <c r="AA659" s="277"/>
      <c r="AB659" s="277"/>
      <c r="AC659" s="277"/>
      <c r="AD659" s="277"/>
      <c r="AE659" s="277"/>
      <c r="AF659" s="277"/>
      <c r="AG659" s="277"/>
      <c r="AH659" s="277"/>
      <c r="AI659" s="277"/>
      <c r="AJ659" s="216"/>
      <c r="AK659" s="304"/>
      <c r="AL659" s="303"/>
      <c r="AM659" s="303"/>
      <c r="AN659" s="304"/>
      <c r="AO659" s="277"/>
      <c r="AP659" s="303"/>
      <c r="AQ659" s="303"/>
      <c r="AR659" s="304"/>
      <c r="AS659" s="303"/>
      <c r="AT659" s="303"/>
      <c r="AU659" s="303"/>
      <c r="AV659" s="303"/>
      <c r="AW659" s="213"/>
      <c r="AX659" s="213"/>
      <c r="AY659" s="213"/>
      <c r="AZ659" s="213"/>
      <c r="BA659" s="213"/>
      <c r="BB659" s="213"/>
      <c r="BC659" s="213"/>
      <c r="BD659" s="213"/>
      <c r="BE659" s="213"/>
      <c r="BF659" s="213"/>
      <c r="BG659" s="213"/>
      <c r="BH659" s="213"/>
      <c r="BI659" s="213"/>
      <c r="BJ659" s="213"/>
    </row>
    <row r="660" spans="19:62" customFormat="1" ht="15.6">
      <c r="S660" s="277"/>
      <c r="T660" s="277"/>
      <c r="U660" s="277"/>
      <c r="V660" s="277"/>
      <c r="W660" s="277"/>
      <c r="X660" s="277"/>
      <c r="Y660" s="277"/>
      <c r="Z660" s="277"/>
      <c r="AA660" s="277"/>
      <c r="AB660" s="277"/>
      <c r="AC660" s="277"/>
      <c r="AD660" s="277"/>
      <c r="AE660" s="277"/>
      <c r="AF660" s="277"/>
      <c r="AG660" s="277"/>
      <c r="AH660" s="277"/>
      <c r="AI660" s="277"/>
      <c r="AJ660" s="216"/>
      <c r="AK660" s="304"/>
      <c r="AL660" s="303"/>
      <c r="AM660" s="303"/>
      <c r="AN660" s="304"/>
      <c r="AO660" s="277"/>
      <c r="AP660" s="303"/>
      <c r="AQ660" s="303"/>
      <c r="AR660" s="304"/>
      <c r="AS660" s="303"/>
      <c r="AT660" s="303"/>
      <c r="AU660" s="303"/>
      <c r="AV660" s="303"/>
      <c r="AW660" s="213"/>
      <c r="AX660" s="213"/>
      <c r="AY660" s="213"/>
      <c r="AZ660" s="213"/>
      <c r="BA660" s="213"/>
      <c r="BB660" s="213"/>
      <c r="BC660" s="213"/>
      <c r="BD660" s="213"/>
      <c r="BE660" s="213"/>
      <c r="BF660" s="213"/>
      <c r="BG660" s="213"/>
      <c r="BH660" s="213"/>
      <c r="BI660" s="213"/>
      <c r="BJ660" s="213"/>
    </row>
    <row r="661" spans="19:62" customFormat="1" ht="15.6">
      <c r="S661" s="277"/>
      <c r="T661" s="277"/>
      <c r="U661" s="277"/>
      <c r="V661" s="277"/>
      <c r="W661" s="277"/>
      <c r="X661" s="277"/>
      <c r="Y661" s="277"/>
      <c r="Z661" s="277"/>
      <c r="AA661" s="277"/>
      <c r="AB661" s="277"/>
      <c r="AC661" s="277"/>
      <c r="AD661" s="277"/>
      <c r="AE661" s="277"/>
      <c r="AF661" s="277"/>
      <c r="AG661" s="277"/>
      <c r="AH661" s="277"/>
      <c r="AI661" s="277"/>
      <c r="AJ661" s="216"/>
      <c r="AK661" s="304"/>
      <c r="AL661" s="303"/>
      <c r="AM661" s="303"/>
      <c r="AN661" s="304"/>
      <c r="AO661" s="277"/>
      <c r="AP661" s="303"/>
      <c r="AQ661" s="303"/>
      <c r="AR661" s="304"/>
      <c r="AS661" s="303"/>
      <c r="AT661" s="303"/>
      <c r="AU661" s="303"/>
      <c r="AV661" s="303"/>
      <c r="AW661" s="213"/>
      <c r="AX661" s="213"/>
      <c r="AY661" s="213"/>
      <c r="AZ661" s="213"/>
      <c r="BA661" s="213"/>
      <c r="BB661" s="213"/>
      <c r="BC661" s="213"/>
      <c r="BD661" s="213"/>
      <c r="BE661" s="213"/>
      <c r="BF661" s="213"/>
      <c r="BG661" s="213"/>
      <c r="BH661" s="213"/>
      <c r="BI661" s="213"/>
      <c r="BJ661" s="213"/>
    </row>
    <row r="662" spans="19:62" customFormat="1" ht="15.6">
      <c r="S662" s="277"/>
      <c r="T662" s="277"/>
      <c r="U662" s="277"/>
      <c r="V662" s="277"/>
      <c r="W662" s="277"/>
      <c r="X662" s="277"/>
      <c r="Y662" s="277"/>
      <c r="Z662" s="277"/>
      <c r="AA662" s="277"/>
      <c r="AB662" s="277"/>
      <c r="AC662" s="277"/>
      <c r="AD662" s="277"/>
      <c r="AE662" s="277"/>
      <c r="AF662" s="277"/>
      <c r="AG662" s="277"/>
      <c r="AH662" s="277"/>
      <c r="AI662" s="277"/>
      <c r="AJ662" s="216"/>
      <c r="AK662" s="304"/>
      <c r="AL662" s="303"/>
      <c r="AM662" s="303"/>
      <c r="AN662" s="304"/>
      <c r="AO662" s="277"/>
      <c r="AP662" s="303"/>
      <c r="AQ662" s="303"/>
      <c r="AR662" s="304"/>
      <c r="AS662" s="303"/>
      <c r="AT662" s="303"/>
      <c r="AU662" s="303"/>
      <c r="AV662" s="303"/>
      <c r="AW662" s="213"/>
      <c r="AX662" s="213"/>
      <c r="AY662" s="213"/>
      <c r="AZ662" s="213"/>
      <c r="BA662" s="213"/>
      <c r="BB662" s="213"/>
      <c r="BC662" s="213"/>
      <c r="BD662" s="213"/>
      <c r="BE662" s="213"/>
      <c r="BF662" s="213"/>
      <c r="BG662" s="213"/>
      <c r="BH662" s="213"/>
      <c r="BI662" s="213"/>
      <c r="BJ662" s="213"/>
    </row>
    <row r="663" spans="19:62" customFormat="1" ht="15.6">
      <c r="S663" s="277"/>
      <c r="T663" s="277"/>
      <c r="U663" s="277"/>
      <c r="V663" s="277"/>
      <c r="W663" s="277"/>
      <c r="X663" s="277"/>
      <c r="Y663" s="277"/>
      <c r="Z663" s="277"/>
      <c r="AA663" s="277"/>
      <c r="AB663" s="277"/>
      <c r="AC663" s="277"/>
      <c r="AD663" s="277"/>
      <c r="AE663" s="277"/>
      <c r="AF663" s="277"/>
      <c r="AG663" s="277"/>
      <c r="AH663" s="277"/>
      <c r="AI663" s="277"/>
      <c r="AJ663" s="216"/>
      <c r="AK663" s="304"/>
      <c r="AL663" s="303"/>
      <c r="AM663" s="303"/>
      <c r="AN663" s="304"/>
      <c r="AO663" s="277"/>
      <c r="AP663" s="303"/>
      <c r="AQ663" s="303"/>
      <c r="AR663" s="304"/>
      <c r="AS663" s="303"/>
      <c r="AT663" s="303"/>
      <c r="AU663" s="303"/>
      <c r="AV663" s="303"/>
      <c r="AW663" s="213"/>
      <c r="AX663" s="213"/>
      <c r="AY663" s="213"/>
      <c r="AZ663" s="213"/>
      <c r="BA663" s="213"/>
      <c r="BB663" s="213"/>
      <c r="BC663" s="213"/>
      <c r="BD663" s="213"/>
      <c r="BE663" s="213"/>
      <c r="BF663" s="213"/>
      <c r="BG663" s="213"/>
      <c r="BH663" s="213"/>
      <c r="BI663" s="213"/>
      <c r="BJ663" s="213"/>
    </row>
    <row r="664" spans="19:62" customFormat="1" ht="15.6">
      <c r="S664" s="277"/>
      <c r="T664" s="277"/>
      <c r="U664" s="277"/>
      <c r="V664" s="277"/>
      <c r="W664" s="277"/>
      <c r="X664" s="277"/>
      <c r="Y664" s="277"/>
      <c r="Z664" s="277"/>
      <c r="AA664" s="277"/>
      <c r="AB664" s="277"/>
      <c r="AC664" s="277"/>
      <c r="AD664" s="277"/>
      <c r="AE664" s="277"/>
      <c r="AF664" s="277"/>
      <c r="AG664" s="277"/>
      <c r="AH664" s="277"/>
      <c r="AI664" s="277"/>
      <c r="AJ664" s="216"/>
      <c r="AK664" s="304"/>
      <c r="AL664" s="303"/>
      <c r="AM664" s="303"/>
      <c r="AN664" s="304"/>
      <c r="AO664" s="277"/>
      <c r="AP664" s="303"/>
      <c r="AQ664" s="303"/>
      <c r="AR664" s="304"/>
      <c r="AS664" s="303"/>
      <c r="AT664" s="303"/>
      <c r="AU664" s="303"/>
      <c r="AV664" s="303"/>
      <c r="AW664" s="213"/>
      <c r="AX664" s="213"/>
      <c r="AY664" s="213"/>
      <c r="AZ664" s="213"/>
      <c r="BA664" s="213"/>
      <c r="BB664" s="213"/>
      <c r="BC664" s="213"/>
      <c r="BD664" s="213"/>
      <c r="BE664" s="213"/>
      <c r="BF664" s="213"/>
      <c r="BG664" s="213"/>
      <c r="BH664" s="213"/>
      <c r="BI664" s="213"/>
      <c r="BJ664" s="213"/>
    </row>
    <row r="665" spans="19:62" customFormat="1" ht="15.6">
      <c r="S665" s="277"/>
      <c r="T665" s="277"/>
      <c r="U665" s="277"/>
      <c r="V665" s="277"/>
      <c r="W665" s="277"/>
      <c r="X665" s="277"/>
      <c r="Y665" s="277"/>
      <c r="Z665" s="277"/>
      <c r="AA665" s="277"/>
      <c r="AB665" s="277"/>
      <c r="AC665" s="277"/>
      <c r="AD665" s="277"/>
      <c r="AE665" s="277"/>
      <c r="AF665" s="277"/>
      <c r="AG665" s="277"/>
      <c r="AH665" s="277"/>
      <c r="AI665" s="277"/>
      <c r="AJ665" s="216"/>
      <c r="AK665" s="304"/>
      <c r="AL665" s="303"/>
      <c r="AM665" s="303"/>
      <c r="AN665" s="304"/>
      <c r="AO665" s="277"/>
      <c r="AP665" s="303"/>
      <c r="AQ665" s="303"/>
      <c r="AR665" s="304"/>
      <c r="AS665" s="303"/>
      <c r="AT665" s="303"/>
      <c r="AU665" s="303"/>
      <c r="AV665" s="303"/>
      <c r="AW665" s="213"/>
      <c r="AX665" s="213"/>
      <c r="AY665" s="213"/>
      <c r="AZ665" s="213"/>
      <c r="BA665" s="213"/>
      <c r="BB665" s="213"/>
      <c r="BC665" s="213"/>
      <c r="BD665" s="213"/>
      <c r="BE665" s="213"/>
      <c r="BF665" s="213"/>
      <c r="BG665" s="213"/>
      <c r="BH665" s="213"/>
      <c r="BI665" s="213"/>
      <c r="BJ665" s="213"/>
    </row>
    <row r="666" spans="19:62" customFormat="1" ht="15.6">
      <c r="S666" s="277"/>
      <c r="T666" s="277"/>
      <c r="U666" s="277"/>
      <c r="V666" s="277"/>
      <c r="W666" s="277"/>
      <c r="X666" s="277"/>
      <c r="Y666" s="277"/>
      <c r="Z666" s="277"/>
      <c r="AA666" s="277"/>
      <c r="AB666" s="277"/>
      <c r="AC666" s="277"/>
      <c r="AD666" s="277"/>
      <c r="AE666" s="277"/>
      <c r="AF666" s="277"/>
      <c r="AG666" s="277"/>
      <c r="AH666" s="277"/>
      <c r="AI666" s="277"/>
      <c r="AJ666" s="216"/>
      <c r="AK666" s="304"/>
      <c r="AL666" s="303"/>
      <c r="AM666" s="303"/>
      <c r="AN666" s="304"/>
      <c r="AO666" s="277"/>
      <c r="AP666" s="303"/>
      <c r="AQ666" s="303"/>
      <c r="AR666" s="304"/>
      <c r="AS666" s="303"/>
      <c r="AT666" s="303"/>
      <c r="AU666" s="303"/>
      <c r="AV666" s="303"/>
      <c r="AW666" s="213"/>
      <c r="AX666" s="213"/>
      <c r="AY666" s="213"/>
      <c r="AZ666" s="213"/>
      <c r="BA666" s="213"/>
      <c r="BB666" s="213"/>
      <c r="BC666" s="213"/>
      <c r="BD666" s="213"/>
      <c r="BE666" s="213"/>
      <c r="BF666" s="213"/>
      <c r="BG666" s="213"/>
      <c r="BH666" s="213"/>
      <c r="BI666" s="213"/>
      <c r="BJ666" s="213"/>
    </row>
    <row r="667" spans="19:62" customFormat="1" ht="15.6">
      <c r="S667" s="277"/>
      <c r="T667" s="277"/>
      <c r="U667" s="277"/>
      <c r="V667" s="277"/>
      <c r="W667" s="277"/>
      <c r="X667" s="277"/>
      <c r="Y667" s="277"/>
      <c r="Z667" s="277"/>
      <c r="AA667" s="277"/>
      <c r="AB667" s="277"/>
      <c r="AC667" s="277"/>
      <c r="AD667" s="277"/>
      <c r="AE667" s="277"/>
      <c r="AF667" s="277"/>
      <c r="AG667" s="277"/>
      <c r="AH667" s="277"/>
      <c r="AI667" s="277"/>
      <c r="AJ667" s="216"/>
      <c r="AK667" s="304"/>
      <c r="AL667" s="303"/>
      <c r="AM667" s="303"/>
      <c r="AN667" s="304"/>
      <c r="AO667" s="277"/>
      <c r="AP667" s="303"/>
      <c r="AQ667" s="303"/>
      <c r="AR667" s="304"/>
      <c r="AS667" s="303"/>
      <c r="AT667" s="303"/>
      <c r="AU667" s="303"/>
      <c r="AV667" s="303"/>
      <c r="AW667" s="213"/>
      <c r="AX667" s="213"/>
      <c r="AY667" s="213"/>
      <c r="AZ667" s="213"/>
      <c r="BA667" s="213"/>
      <c r="BB667" s="213"/>
      <c r="BC667" s="213"/>
      <c r="BD667" s="213"/>
      <c r="BE667" s="213"/>
      <c r="BF667" s="213"/>
      <c r="BG667" s="213"/>
      <c r="BH667" s="213"/>
      <c r="BI667" s="213"/>
      <c r="BJ667" s="213"/>
    </row>
    <row r="668" spans="19:62" customFormat="1" ht="15.6">
      <c r="S668" s="277"/>
      <c r="T668" s="277"/>
      <c r="U668" s="277"/>
      <c r="V668" s="277"/>
      <c r="W668" s="277"/>
      <c r="X668" s="277"/>
      <c r="Y668" s="277"/>
      <c r="Z668" s="277"/>
      <c r="AA668" s="277"/>
      <c r="AB668" s="277"/>
      <c r="AC668" s="277"/>
      <c r="AD668" s="277"/>
      <c r="AE668" s="277"/>
      <c r="AF668" s="277"/>
      <c r="AG668" s="277"/>
      <c r="AH668" s="277"/>
      <c r="AI668" s="277"/>
      <c r="AJ668" s="216"/>
      <c r="AK668" s="304"/>
      <c r="AL668" s="303"/>
      <c r="AM668" s="303"/>
      <c r="AN668" s="304"/>
      <c r="AO668" s="277"/>
      <c r="AP668" s="303"/>
      <c r="AQ668" s="303"/>
      <c r="AR668" s="304"/>
      <c r="AS668" s="303"/>
      <c r="AT668" s="303"/>
      <c r="AU668" s="303"/>
      <c r="AV668" s="303"/>
      <c r="AW668" s="213"/>
      <c r="AX668" s="213"/>
      <c r="AY668" s="213"/>
      <c r="AZ668" s="213"/>
      <c r="BA668" s="213"/>
      <c r="BB668" s="213"/>
      <c r="BC668" s="213"/>
      <c r="BD668" s="213"/>
      <c r="BE668" s="213"/>
      <c r="BF668" s="213"/>
      <c r="BG668" s="213"/>
      <c r="BH668" s="213"/>
      <c r="BI668" s="213"/>
      <c r="BJ668" s="213"/>
    </row>
    <row r="669" spans="19:62" customFormat="1" ht="15.6">
      <c r="S669" s="277"/>
      <c r="T669" s="277"/>
      <c r="U669" s="277"/>
      <c r="V669" s="277"/>
      <c r="W669" s="277"/>
      <c r="X669" s="277"/>
      <c r="Y669" s="277"/>
      <c r="Z669" s="277"/>
      <c r="AA669" s="277"/>
      <c r="AB669" s="277"/>
      <c r="AC669" s="277"/>
      <c r="AD669" s="277"/>
      <c r="AE669" s="277"/>
      <c r="AF669" s="277"/>
      <c r="AG669" s="277"/>
      <c r="AH669" s="277"/>
      <c r="AI669" s="277"/>
      <c r="AJ669" s="216"/>
      <c r="AK669" s="304"/>
      <c r="AL669" s="303"/>
      <c r="AM669" s="303"/>
      <c r="AN669" s="304"/>
      <c r="AO669" s="277"/>
      <c r="AP669" s="303"/>
      <c r="AQ669" s="303"/>
      <c r="AR669" s="304"/>
      <c r="AS669" s="303"/>
      <c r="AT669" s="303"/>
      <c r="AU669" s="303"/>
      <c r="AV669" s="303"/>
      <c r="AW669" s="213"/>
      <c r="AX669" s="213"/>
      <c r="AY669" s="213"/>
      <c r="AZ669" s="213"/>
      <c r="BA669" s="213"/>
      <c r="BB669" s="213"/>
      <c r="BC669" s="213"/>
      <c r="BD669" s="213"/>
      <c r="BE669" s="213"/>
      <c r="BF669" s="213"/>
      <c r="BG669" s="213"/>
      <c r="BH669" s="213"/>
      <c r="BI669" s="213"/>
      <c r="BJ669" s="213"/>
    </row>
    <row r="670" spans="19:62" customFormat="1" ht="15.75" customHeight="1">
      <c r="S670" s="277"/>
      <c r="T670" s="277"/>
      <c r="U670" s="277"/>
      <c r="V670" s="277"/>
      <c r="W670" s="277"/>
      <c r="X670" s="277"/>
      <c r="Y670" s="277"/>
      <c r="Z670" s="277"/>
      <c r="AA670" s="277"/>
      <c r="AB670" s="277"/>
      <c r="AC670" s="277"/>
      <c r="AD670" s="277"/>
      <c r="AE670" s="277"/>
      <c r="AF670" s="277"/>
      <c r="AG670" s="277"/>
      <c r="AH670" s="277"/>
      <c r="AI670" s="277"/>
      <c r="AJ670" s="216"/>
      <c r="AK670" s="304"/>
      <c r="AL670" s="303"/>
      <c r="AM670" s="303"/>
      <c r="AN670" s="304"/>
      <c r="AO670" s="277"/>
      <c r="AP670" s="303"/>
      <c r="AQ670" s="303"/>
      <c r="AR670" s="304"/>
      <c r="AS670" s="303"/>
      <c r="AT670" s="303"/>
      <c r="AU670" s="303"/>
      <c r="AV670" s="303"/>
      <c r="AW670" s="213"/>
      <c r="AX670" s="213"/>
      <c r="AY670" s="213"/>
      <c r="AZ670" s="213"/>
      <c r="BA670" s="213"/>
      <c r="BB670" s="213"/>
      <c r="BC670" s="213"/>
      <c r="BD670" s="213"/>
      <c r="BE670" s="213"/>
      <c r="BF670" s="213"/>
      <c r="BG670" s="213"/>
      <c r="BH670" s="213"/>
      <c r="BI670" s="213"/>
      <c r="BJ670" s="213"/>
    </row>
    <row r="671" spans="19:62" customFormat="1" ht="15.6">
      <c r="S671" s="277"/>
      <c r="T671" s="277"/>
      <c r="U671" s="277"/>
      <c r="V671" s="277"/>
      <c r="W671" s="277"/>
      <c r="X671" s="277"/>
      <c r="Y671" s="277"/>
      <c r="Z671" s="277"/>
      <c r="AA671" s="277"/>
      <c r="AB671" s="277"/>
      <c r="AC671" s="277"/>
      <c r="AD671" s="277"/>
      <c r="AE671" s="277"/>
      <c r="AF671" s="277"/>
      <c r="AG671" s="277"/>
      <c r="AH671" s="277"/>
      <c r="AI671" s="277"/>
      <c r="AJ671" s="216"/>
      <c r="AK671" s="304"/>
      <c r="AL671" s="303"/>
      <c r="AM671" s="303"/>
      <c r="AN671" s="304"/>
      <c r="AO671" s="277"/>
      <c r="AP671" s="303"/>
      <c r="AQ671" s="303"/>
      <c r="AR671" s="304"/>
      <c r="AS671" s="303"/>
      <c r="AT671" s="303"/>
      <c r="AU671" s="303"/>
      <c r="AV671" s="303"/>
      <c r="AW671" s="213"/>
      <c r="AX671" s="213"/>
      <c r="AY671" s="213"/>
      <c r="AZ671" s="213"/>
      <c r="BA671" s="213"/>
      <c r="BB671" s="213"/>
      <c r="BC671" s="213"/>
      <c r="BD671" s="213"/>
      <c r="BE671" s="213"/>
      <c r="BF671" s="213"/>
      <c r="BG671" s="213"/>
      <c r="BH671" s="213"/>
      <c r="BI671" s="213"/>
      <c r="BJ671" s="213"/>
    </row>
    <row r="672" spans="19:62" customFormat="1" ht="15.6">
      <c r="S672" s="277"/>
      <c r="T672" s="277"/>
      <c r="U672" s="277"/>
      <c r="V672" s="277"/>
      <c r="W672" s="277"/>
      <c r="X672" s="277"/>
      <c r="Y672" s="277"/>
      <c r="Z672" s="277"/>
      <c r="AA672" s="277"/>
      <c r="AB672" s="277"/>
      <c r="AC672" s="277"/>
      <c r="AD672" s="277"/>
      <c r="AE672" s="277"/>
      <c r="AF672" s="277"/>
      <c r="AG672" s="277"/>
      <c r="AH672" s="277"/>
      <c r="AI672" s="277"/>
      <c r="AJ672" s="216"/>
      <c r="AK672" s="304"/>
      <c r="AL672" s="303"/>
      <c r="AM672" s="303"/>
      <c r="AN672" s="304"/>
      <c r="AO672" s="277"/>
      <c r="AP672" s="303"/>
      <c r="AQ672" s="303"/>
      <c r="AR672" s="304"/>
      <c r="AS672" s="303"/>
      <c r="AT672" s="303"/>
      <c r="AU672" s="303"/>
      <c r="AV672" s="303"/>
      <c r="AW672" s="213"/>
      <c r="AX672" s="213"/>
      <c r="AY672" s="213"/>
      <c r="AZ672" s="213"/>
      <c r="BA672" s="213"/>
      <c r="BB672" s="213"/>
      <c r="BC672" s="213"/>
      <c r="BD672" s="213"/>
      <c r="BE672" s="213"/>
      <c r="BF672" s="213"/>
      <c r="BG672" s="213"/>
      <c r="BH672" s="213"/>
      <c r="BI672" s="213"/>
      <c r="BJ672" s="213"/>
    </row>
    <row r="673" spans="19:62" customFormat="1" ht="15.6">
      <c r="S673" s="277"/>
      <c r="T673" s="277"/>
      <c r="U673" s="277"/>
      <c r="V673" s="277"/>
      <c r="W673" s="277"/>
      <c r="X673" s="277"/>
      <c r="Y673" s="277"/>
      <c r="Z673" s="277"/>
      <c r="AA673" s="277"/>
      <c r="AB673" s="277"/>
      <c r="AC673" s="277"/>
      <c r="AD673" s="277"/>
      <c r="AE673" s="277"/>
      <c r="AF673" s="277"/>
      <c r="AG673" s="277"/>
      <c r="AH673" s="277"/>
      <c r="AI673" s="277"/>
      <c r="AJ673" s="216"/>
      <c r="AK673" s="304"/>
      <c r="AL673" s="303"/>
      <c r="AM673" s="303"/>
      <c r="AN673" s="304"/>
      <c r="AO673" s="277"/>
      <c r="AP673" s="303"/>
      <c r="AQ673" s="303"/>
      <c r="AR673" s="304"/>
      <c r="AS673" s="303"/>
      <c r="AT673" s="303"/>
      <c r="AU673" s="303"/>
      <c r="AV673" s="303"/>
      <c r="AW673" s="213"/>
      <c r="AX673" s="213"/>
      <c r="AY673" s="213"/>
      <c r="AZ673" s="213"/>
      <c r="BA673" s="213"/>
      <c r="BB673" s="213"/>
      <c r="BC673" s="213"/>
      <c r="BD673" s="213"/>
      <c r="BE673" s="213"/>
      <c r="BF673" s="213"/>
      <c r="BG673" s="213"/>
      <c r="BH673" s="213"/>
      <c r="BI673" s="213"/>
      <c r="BJ673" s="213"/>
    </row>
    <row r="674" spans="19:62" customFormat="1" ht="15.6">
      <c r="S674" s="277"/>
      <c r="T674" s="277"/>
      <c r="U674" s="277"/>
      <c r="V674" s="277"/>
      <c r="W674" s="277"/>
      <c r="X674" s="277"/>
      <c r="Y674" s="277"/>
      <c r="Z674" s="277"/>
      <c r="AA674" s="277"/>
      <c r="AB674" s="277"/>
      <c r="AC674" s="277"/>
      <c r="AD674" s="277"/>
      <c r="AE674" s="277"/>
      <c r="AF674" s="277"/>
      <c r="AG674" s="277"/>
      <c r="AH674" s="277"/>
      <c r="AI674" s="277"/>
      <c r="AJ674" s="216"/>
      <c r="AK674" s="304"/>
      <c r="AL674" s="303"/>
      <c r="AM674" s="303"/>
      <c r="AN674" s="304"/>
      <c r="AO674" s="277"/>
      <c r="AP674" s="303"/>
      <c r="AQ674" s="303"/>
      <c r="AR674" s="304"/>
      <c r="AS674" s="303"/>
      <c r="AT674" s="303"/>
      <c r="AU674" s="303"/>
      <c r="AV674" s="303"/>
      <c r="AW674" s="213"/>
      <c r="AX674" s="213"/>
      <c r="AY674" s="213"/>
      <c r="AZ674" s="213"/>
      <c r="BA674" s="213"/>
      <c r="BB674" s="213"/>
      <c r="BC674" s="213"/>
      <c r="BD674" s="213"/>
      <c r="BE674" s="213"/>
      <c r="BF674" s="213"/>
      <c r="BG674" s="213"/>
      <c r="BH674" s="213"/>
      <c r="BI674" s="213"/>
      <c r="BJ674" s="213"/>
    </row>
    <row r="675" spans="19:62" customFormat="1" ht="15.6">
      <c r="S675" s="277"/>
      <c r="T675" s="277"/>
      <c r="U675" s="277"/>
      <c r="V675" s="277"/>
      <c r="W675" s="277"/>
      <c r="X675" s="277"/>
      <c r="Y675" s="277"/>
      <c r="Z675" s="277"/>
      <c r="AA675" s="277"/>
      <c r="AB675" s="277"/>
      <c r="AC675" s="277"/>
      <c r="AD675" s="277"/>
      <c r="AE675" s="277"/>
      <c r="AF675" s="277"/>
      <c r="AG675" s="277"/>
      <c r="AH675" s="277"/>
      <c r="AI675" s="277"/>
      <c r="AJ675" s="216"/>
      <c r="AK675" s="304"/>
      <c r="AL675" s="303"/>
      <c r="AM675" s="303"/>
      <c r="AN675" s="304"/>
      <c r="AO675" s="277"/>
      <c r="AP675" s="303"/>
      <c r="AQ675" s="303"/>
      <c r="AR675" s="304"/>
      <c r="AS675" s="303"/>
      <c r="AT675" s="303"/>
      <c r="AU675" s="303"/>
      <c r="AV675" s="303"/>
      <c r="AW675" s="213"/>
      <c r="AX675" s="213"/>
      <c r="AY675" s="213"/>
      <c r="AZ675" s="213"/>
      <c r="BA675" s="213"/>
      <c r="BB675" s="213"/>
      <c r="BC675" s="213"/>
      <c r="BD675" s="213"/>
      <c r="BE675" s="213"/>
      <c r="BF675" s="213"/>
      <c r="BG675" s="213"/>
      <c r="BH675" s="213"/>
      <c r="BI675" s="213"/>
      <c r="BJ675" s="213"/>
    </row>
    <row r="676" spans="19:62" customFormat="1" ht="15.6">
      <c r="S676" s="277"/>
      <c r="T676" s="277"/>
      <c r="U676" s="277"/>
      <c r="V676" s="277"/>
      <c r="W676" s="277"/>
      <c r="X676" s="277"/>
      <c r="Y676" s="277"/>
      <c r="Z676" s="277"/>
      <c r="AA676" s="277"/>
      <c r="AB676" s="277"/>
      <c r="AC676" s="277"/>
      <c r="AD676" s="277"/>
      <c r="AE676" s="277"/>
      <c r="AF676" s="277"/>
      <c r="AG676" s="277"/>
      <c r="AH676" s="277"/>
      <c r="AI676" s="277"/>
      <c r="AJ676" s="216"/>
      <c r="AK676" s="304"/>
      <c r="AL676" s="303"/>
      <c r="AM676" s="303"/>
      <c r="AN676" s="304"/>
      <c r="AO676" s="277"/>
      <c r="AP676" s="303"/>
      <c r="AQ676" s="303"/>
      <c r="AR676" s="304"/>
      <c r="AS676" s="303"/>
      <c r="AT676" s="303"/>
      <c r="AU676" s="303"/>
      <c r="AV676" s="303"/>
      <c r="AW676" s="213"/>
      <c r="AX676" s="213"/>
      <c r="AY676" s="213"/>
      <c r="AZ676" s="213"/>
      <c r="BA676" s="213"/>
      <c r="BB676" s="213"/>
      <c r="BC676" s="213"/>
      <c r="BD676" s="213"/>
      <c r="BE676" s="213"/>
      <c r="BF676" s="213"/>
      <c r="BG676" s="213"/>
      <c r="BH676" s="213"/>
      <c r="BI676" s="213"/>
      <c r="BJ676" s="213"/>
    </row>
    <row r="677" spans="19:62" customFormat="1" ht="15.6">
      <c r="S677" s="277"/>
      <c r="T677" s="277"/>
      <c r="U677" s="277"/>
      <c r="V677" s="277"/>
      <c r="W677" s="277"/>
      <c r="X677" s="277"/>
      <c r="Y677" s="277"/>
      <c r="Z677" s="277"/>
      <c r="AA677" s="277"/>
      <c r="AB677" s="277"/>
      <c r="AC677" s="277"/>
      <c r="AD677" s="277"/>
      <c r="AE677" s="277"/>
      <c r="AF677" s="277"/>
      <c r="AG677" s="277"/>
      <c r="AH677" s="277"/>
      <c r="AI677" s="277"/>
      <c r="AJ677" s="216"/>
      <c r="AK677" s="304"/>
      <c r="AL677" s="303"/>
      <c r="AM677" s="303"/>
      <c r="AN677" s="304"/>
      <c r="AO677" s="277"/>
      <c r="AP677" s="303"/>
      <c r="AQ677" s="303"/>
      <c r="AR677" s="304"/>
      <c r="AS677" s="303"/>
      <c r="AT677" s="303"/>
      <c r="AU677" s="303"/>
      <c r="AV677" s="303"/>
      <c r="AW677" s="213"/>
      <c r="AX677" s="213"/>
      <c r="AY677" s="213"/>
      <c r="AZ677" s="213"/>
      <c r="BA677" s="213"/>
      <c r="BB677" s="213"/>
      <c r="BC677" s="213"/>
      <c r="BD677" s="213"/>
      <c r="BE677" s="213"/>
      <c r="BF677" s="213"/>
      <c r="BG677" s="213"/>
      <c r="BH677" s="213"/>
      <c r="BI677" s="213"/>
      <c r="BJ677" s="213"/>
    </row>
    <row r="678" spans="19:62" customFormat="1" ht="15.6">
      <c r="S678" s="277"/>
      <c r="T678" s="277"/>
      <c r="U678" s="277"/>
      <c r="V678" s="277"/>
      <c r="W678" s="277"/>
      <c r="X678" s="277"/>
      <c r="Y678" s="277"/>
      <c r="Z678" s="277"/>
      <c r="AA678" s="277"/>
      <c r="AB678" s="277"/>
      <c r="AC678" s="277"/>
      <c r="AD678" s="277"/>
      <c r="AE678" s="277"/>
      <c r="AF678" s="277"/>
      <c r="AG678" s="277"/>
      <c r="AH678" s="277"/>
      <c r="AI678" s="277"/>
      <c r="AJ678" s="216"/>
      <c r="AK678" s="304"/>
      <c r="AL678" s="303"/>
      <c r="AM678" s="303"/>
      <c r="AN678" s="304"/>
      <c r="AO678" s="277"/>
      <c r="AP678" s="303"/>
      <c r="AQ678" s="303"/>
      <c r="AR678" s="304"/>
      <c r="AS678" s="303"/>
      <c r="AT678" s="303"/>
      <c r="AU678" s="303"/>
      <c r="AV678" s="303"/>
      <c r="AW678" s="213"/>
      <c r="AX678" s="213"/>
      <c r="AY678" s="213"/>
      <c r="AZ678" s="213"/>
      <c r="BA678" s="213"/>
      <c r="BB678" s="213"/>
      <c r="BC678" s="213"/>
      <c r="BD678" s="213"/>
      <c r="BE678" s="213"/>
      <c r="BF678" s="213"/>
      <c r="BG678" s="213"/>
      <c r="BH678" s="213"/>
      <c r="BI678" s="213"/>
      <c r="BJ678" s="213"/>
    </row>
    <row r="679" spans="19:62" customFormat="1" ht="15.6">
      <c r="S679" s="277"/>
      <c r="T679" s="277"/>
      <c r="U679" s="277"/>
      <c r="V679" s="277"/>
      <c r="W679" s="277"/>
      <c r="X679" s="277"/>
      <c r="Y679" s="277"/>
      <c r="Z679" s="277"/>
      <c r="AA679" s="277"/>
      <c r="AB679" s="277"/>
      <c r="AC679" s="277"/>
      <c r="AD679" s="277"/>
      <c r="AE679" s="277"/>
      <c r="AF679" s="277"/>
      <c r="AG679" s="277"/>
      <c r="AH679" s="277"/>
      <c r="AI679" s="277"/>
      <c r="AJ679" s="216"/>
      <c r="AK679" s="304"/>
      <c r="AL679" s="303"/>
      <c r="AM679" s="303"/>
      <c r="AN679" s="304"/>
      <c r="AO679" s="277"/>
      <c r="AP679" s="303"/>
      <c r="AQ679" s="303"/>
      <c r="AR679" s="304"/>
      <c r="AS679" s="303"/>
      <c r="AT679" s="303"/>
      <c r="AU679" s="303"/>
      <c r="AV679" s="303"/>
      <c r="AW679" s="213"/>
      <c r="AX679" s="213"/>
      <c r="AY679" s="213"/>
      <c r="AZ679" s="213"/>
      <c r="BA679" s="213"/>
      <c r="BB679" s="213"/>
      <c r="BC679" s="213"/>
      <c r="BD679" s="213"/>
      <c r="BE679" s="213"/>
      <c r="BF679" s="213"/>
      <c r="BG679" s="213"/>
      <c r="BH679" s="213"/>
      <c r="BI679" s="213"/>
      <c r="BJ679" s="213"/>
    </row>
    <row r="680" spans="19:62" customFormat="1" ht="15.6">
      <c r="S680" s="277"/>
      <c r="T680" s="277"/>
      <c r="U680" s="277"/>
      <c r="V680" s="277"/>
      <c r="W680" s="277"/>
      <c r="X680" s="277"/>
      <c r="Y680" s="277"/>
      <c r="Z680" s="277"/>
      <c r="AA680" s="277"/>
      <c r="AB680" s="277"/>
      <c r="AC680" s="277"/>
      <c r="AD680" s="277"/>
      <c r="AE680" s="277"/>
      <c r="AF680" s="277"/>
      <c r="AG680" s="277"/>
      <c r="AH680" s="277"/>
      <c r="AI680" s="277"/>
      <c r="AJ680" s="216"/>
      <c r="AK680" s="304"/>
      <c r="AL680" s="303"/>
      <c r="AM680" s="303"/>
      <c r="AN680" s="304"/>
      <c r="AO680" s="277"/>
      <c r="AP680" s="303"/>
      <c r="AQ680" s="303"/>
      <c r="AR680" s="304"/>
      <c r="AS680" s="303"/>
      <c r="AT680" s="303"/>
      <c r="AU680" s="303"/>
      <c r="AV680" s="303"/>
      <c r="AW680" s="213"/>
      <c r="AX680" s="213"/>
      <c r="AY680" s="213"/>
      <c r="AZ680" s="213"/>
      <c r="BA680" s="213"/>
      <c r="BB680" s="213"/>
      <c r="BC680" s="213"/>
      <c r="BD680" s="213"/>
      <c r="BE680" s="213"/>
      <c r="BF680" s="213"/>
      <c r="BG680" s="213"/>
      <c r="BH680" s="213"/>
      <c r="BI680" s="213"/>
      <c r="BJ680" s="213"/>
    </row>
    <row r="681" spans="19:62" customFormat="1" ht="15.6">
      <c r="S681" s="277"/>
      <c r="T681" s="277"/>
      <c r="U681" s="277"/>
      <c r="V681" s="277"/>
      <c r="W681" s="277"/>
      <c r="X681" s="277"/>
      <c r="Y681" s="277"/>
      <c r="Z681" s="277"/>
      <c r="AA681" s="277"/>
      <c r="AB681" s="277"/>
      <c r="AC681" s="277"/>
      <c r="AD681" s="277"/>
      <c r="AE681" s="277"/>
      <c r="AF681" s="277"/>
      <c r="AG681" s="277"/>
      <c r="AH681" s="277"/>
      <c r="AI681" s="277"/>
      <c r="AJ681" s="216"/>
      <c r="AK681" s="304"/>
      <c r="AL681" s="303"/>
      <c r="AM681" s="303"/>
      <c r="AN681" s="304"/>
      <c r="AO681" s="277"/>
      <c r="AP681" s="303"/>
      <c r="AQ681" s="303"/>
      <c r="AR681" s="304"/>
      <c r="AS681" s="303"/>
      <c r="AT681" s="303"/>
      <c r="AU681" s="303"/>
      <c r="AV681" s="303"/>
      <c r="AW681" s="213"/>
      <c r="AX681" s="213"/>
      <c r="AY681" s="213"/>
      <c r="AZ681" s="213"/>
      <c r="BA681" s="213"/>
      <c r="BB681" s="213"/>
      <c r="BC681" s="213"/>
      <c r="BD681" s="213"/>
      <c r="BE681" s="213"/>
      <c r="BF681" s="213"/>
      <c r="BG681" s="213"/>
      <c r="BH681" s="213"/>
      <c r="BI681" s="213"/>
      <c r="BJ681" s="213"/>
    </row>
    <row r="682" spans="19:62" customFormat="1" ht="15.6">
      <c r="S682" s="277"/>
      <c r="T682" s="277"/>
      <c r="U682" s="277"/>
      <c r="V682" s="277"/>
      <c r="W682" s="277"/>
      <c r="X682" s="277"/>
      <c r="Y682" s="277"/>
      <c r="Z682" s="277"/>
      <c r="AA682" s="277"/>
      <c r="AB682" s="277"/>
      <c r="AC682" s="277"/>
      <c r="AD682" s="277"/>
      <c r="AE682" s="277"/>
      <c r="AF682" s="277"/>
      <c r="AG682" s="277"/>
      <c r="AH682" s="277"/>
      <c r="AI682" s="277"/>
      <c r="AJ682" s="216"/>
      <c r="AK682" s="304"/>
      <c r="AL682" s="303"/>
      <c r="AM682" s="303"/>
      <c r="AN682" s="304"/>
      <c r="AO682" s="277"/>
      <c r="AP682" s="303"/>
      <c r="AQ682" s="303"/>
      <c r="AR682" s="304"/>
      <c r="AS682" s="303"/>
      <c r="AT682" s="303"/>
      <c r="AU682" s="303"/>
      <c r="AV682" s="303"/>
      <c r="AW682" s="213"/>
      <c r="AX682" s="213"/>
      <c r="AY682" s="213"/>
      <c r="AZ682" s="213"/>
      <c r="BA682" s="213"/>
      <c r="BB682" s="213"/>
      <c r="BC682" s="213"/>
      <c r="BD682" s="213"/>
      <c r="BE682" s="213"/>
      <c r="BF682" s="213"/>
      <c r="BG682" s="213"/>
      <c r="BH682" s="213"/>
      <c r="BI682" s="213"/>
      <c r="BJ682" s="213"/>
    </row>
    <row r="683" spans="19:62" customFormat="1" ht="15.6">
      <c r="S683" s="277"/>
      <c r="T683" s="277"/>
      <c r="U683" s="277"/>
      <c r="V683" s="277"/>
      <c r="W683" s="277"/>
      <c r="X683" s="277"/>
      <c r="Y683" s="277"/>
      <c r="Z683" s="277"/>
      <c r="AA683" s="277"/>
      <c r="AB683" s="277"/>
      <c r="AC683" s="277"/>
      <c r="AD683" s="277"/>
      <c r="AE683" s="277"/>
      <c r="AF683" s="277"/>
      <c r="AG683" s="277"/>
      <c r="AH683" s="277"/>
      <c r="AI683" s="277"/>
      <c r="AJ683" s="216"/>
      <c r="AK683" s="304"/>
      <c r="AL683" s="303"/>
      <c r="AM683" s="303"/>
      <c r="AN683" s="304"/>
      <c r="AO683" s="277"/>
      <c r="AP683" s="303"/>
      <c r="AQ683" s="303"/>
      <c r="AR683" s="304"/>
      <c r="AS683" s="303"/>
      <c r="AT683" s="303"/>
      <c r="AU683" s="303"/>
      <c r="AV683" s="303"/>
      <c r="AW683" s="213"/>
      <c r="AX683" s="213"/>
      <c r="AY683" s="213"/>
      <c r="AZ683" s="213"/>
      <c r="BA683" s="213"/>
      <c r="BB683" s="213"/>
      <c r="BC683" s="213"/>
      <c r="BD683" s="213"/>
      <c r="BE683" s="213"/>
      <c r="BF683" s="213"/>
      <c r="BG683" s="213"/>
      <c r="BH683" s="213"/>
      <c r="BI683" s="213"/>
      <c r="BJ683" s="213"/>
    </row>
    <row r="684" spans="19:62" customFormat="1" ht="15.6">
      <c r="S684" s="277"/>
      <c r="T684" s="277"/>
      <c r="U684" s="277"/>
      <c r="V684" s="277"/>
      <c r="W684" s="277"/>
      <c r="X684" s="277"/>
      <c r="Y684" s="277"/>
      <c r="Z684" s="277"/>
      <c r="AA684" s="277"/>
      <c r="AB684" s="277"/>
      <c r="AC684" s="277"/>
      <c r="AD684" s="277"/>
      <c r="AE684" s="277"/>
      <c r="AF684" s="277"/>
      <c r="AG684" s="277"/>
      <c r="AH684" s="277"/>
      <c r="AI684" s="277"/>
      <c r="AJ684" s="216"/>
      <c r="AK684" s="304"/>
      <c r="AL684" s="303"/>
      <c r="AM684" s="303"/>
      <c r="AN684" s="304"/>
      <c r="AO684" s="277"/>
      <c r="AP684" s="303"/>
      <c r="AQ684" s="303"/>
      <c r="AR684" s="304"/>
      <c r="AS684" s="303"/>
      <c r="AT684" s="303"/>
      <c r="AU684" s="303"/>
      <c r="AV684" s="303"/>
      <c r="AW684" s="213"/>
      <c r="AX684" s="213"/>
      <c r="AY684" s="213"/>
      <c r="AZ684" s="213"/>
      <c r="BA684" s="213"/>
      <c r="BB684" s="213"/>
      <c r="BC684" s="213"/>
      <c r="BD684" s="213"/>
      <c r="BE684" s="213"/>
      <c r="BF684" s="213"/>
      <c r="BG684" s="213"/>
      <c r="BH684" s="213"/>
      <c r="BI684" s="213"/>
      <c r="BJ684" s="213"/>
    </row>
    <row r="685" spans="19:62" customFormat="1" ht="15.6">
      <c r="S685" s="277"/>
      <c r="T685" s="277"/>
      <c r="U685" s="277"/>
      <c r="V685" s="277"/>
      <c r="W685" s="277"/>
      <c r="X685" s="277"/>
      <c r="Y685" s="277"/>
      <c r="Z685" s="277"/>
      <c r="AA685" s="277"/>
      <c r="AB685" s="277"/>
      <c r="AC685" s="277"/>
      <c r="AD685" s="277"/>
      <c r="AE685" s="277"/>
      <c r="AF685" s="277"/>
      <c r="AG685" s="277"/>
      <c r="AH685" s="277"/>
      <c r="AI685" s="277"/>
      <c r="AJ685" s="216"/>
      <c r="AK685" s="304"/>
      <c r="AL685" s="303"/>
      <c r="AM685" s="303"/>
      <c r="AN685" s="304"/>
      <c r="AO685" s="277"/>
      <c r="AP685" s="303"/>
      <c r="AQ685" s="303"/>
      <c r="AR685" s="304"/>
      <c r="AS685" s="303"/>
      <c r="AT685" s="303"/>
      <c r="AU685" s="303"/>
      <c r="AV685" s="303"/>
      <c r="AW685" s="213"/>
      <c r="AX685" s="213"/>
      <c r="AY685" s="213"/>
      <c r="AZ685" s="213"/>
      <c r="BA685" s="213"/>
      <c r="BB685" s="213"/>
      <c r="BC685" s="213"/>
      <c r="BD685" s="213"/>
      <c r="BE685" s="213"/>
      <c r="BF685" s="213"/>
      <c r="BG685" s="213"/>
      <c r="BH685" s="213"/>
      <c r="BI685" s="213"/>
      <c r="BJ685" s="213"/>
    </row>
    <row r="686" spans="19:62" customFormat="1" ht="15.6">
      <c r="S686" s="277"/>
      <c r="T686" s="277"/>
      <c r="U686" s="277"/>
      <c r="V686" s="277"/>
      <c r="W686" s="277"/>
      <c r="X686" s="277"/>
      <c r="Y686" s="277"/>
      <c r="Z686" s="277"/>
      <c r="AA686" s="277"/>
      <c r="AB686" s="277"/>
      <c r="AC686" s="277"/>
      <c r="AD686" s="277"/>
      <c r="AE686" s="277"/>
      <c r="AF686" s="277"/>
      <c r="AG686" s="277"/>
      <c r="AH686" s="277"/>
      <c r="AI686" s="277"/>
      <c r="AJ686" s="216"/>
      <c r="AK686" s="304"/>
      <c r="AL686" s="303"/>
      <c r="AM686" s="303"/>
      <c r="AN686" s="304"/>
      <c r="AO686" s="277"/>
      <c r="AP686" s="303"/>
      <c r="AQ686" s="303"/>
      <c r="AR686" s="304"/>
      <c r="AS686" s="303"/>
      <c r="AT686" s="303"/>
      <c r="AU686" s="303"/>
      <c r="AV686" s="303"/>
      <c r="AW686" s="213"/>
      <c r="AX686" s="213"/>
      <c r="AY686" s="213"/>
      <c r="AZ686" s="213"/>
      <c r="BA686" s="213"/>
      <c r="BB686" s="213"/>
      <c r="BC686" s="213"/>
      <c r="BD686" s="213"/>
      <c r="BE686" s="213"/>
      <c r="BF686" s="213"/>
      <c r="BG686" s="213"/>
      <c r="BH686" s="213"/>
      <c r="BI686" s="213"/>
      <c r="BJ686" s="213"/>
    </row>
    <row r="687" spans="19:62" customFormat="1" ht="15.6">
      <c r="S687" s="277"/>
      <c r="T687" s="277"/>
      <c r="U687" s="277"/>
      <c r="V687" s="277"/>
      <c r="W687" s="277"/>
      <c r="X687" s="277"/>
      <c r="Y687" s="277"/>
      <c r="Z687" s="277"/>
      <c r="AA687" s="277"/>
      <c r="AB687" s="277"/>
      <c r="AC687" s="277"/>
      <c r="AD687" s="277"/>
      <c r="AE687" s="277"/>
      <c r="AF687" s="277"/>
      <c r="AG687" s="277"/>
      <c r="AH687" s="277"/>
      <c r="AI687" s="277"/>
      <c r="AJ687" s="216"/>
      <c r="AK687" s="312"/>
      <c r="AL687" s="303"/>
      <c r="AM687" s="303"/>
      <c r="AN687" s="304"/>
      <c r="AO687" s="277"/>
      <c r="AP687" s="303"/>
      <c r="AQ687" s="303"/>
      <c r="AR687" s="304"/>
      <c r="AS687" s="303"/>
      <c r="AT687" s="303"/>
      <c r="AU687" s="303"/>
      <c r="AV687" s="303"/>
      <c r="AW687" s="213"/>
      <c r="AX687" s="213"/>
      <c r="AY687" s="213"/>
      <c r="AZ687" s="213"/>
      <c r="BA687" s="213"/>
      <c r="BB687" s="213"/>
      <c r="BC687" s="213"/>
      <c r="BD687" s="213"/>
      <c r="BE687" s="213"/>
      <c r="BF687" s="213"/>
      <c r="BG687" s="213"/>
      <c r="BH687" s="213"/>
      <c r="BI687" s="213"/>
      <c r="BJ687" s="213"/>
    </row>
    <row r="688" spans="19:62" customFormat="1" ht="15.6">
      <c r="S688" s="277"/>
      <c r="T688" s="277"/>
      <c r="U688" s="277"/>
      <c r="V688" s="277"/>
      <c r="W688" s="277"/>
      <c r="X688" s="277"/>
      <c r="Y688" s="277"/>
      <c r="Z688" s="277"/>
      <c r="AA688" s="277"/>
      <c r="AB688" s="277"/>
      <c r="AC688" s="277"/>
      <c r="AD688" s="277"/>
      <c r="AE688" s="277"/>
      <c r="AF688" s="277"/>
      <c r="AG688" s="277"/>
      <c r="AH688" s="277"/>
      <c r="AI688" s="277"/>
      <c r="AJ688" s="216"/>
      <c r="AK688" s="304"/>
      <c r="AL688" s="303"/>
      <c r="AM688" s="303"/>
      <c r="AN688" s="304"/>
      <c r="AO688" s="277"/>
      <c r="AP688" s="303"/>
      <c r="AQ688" s="303"/>
      <c r="AR688" s="304"/>
      <c r="AS688" s="303"/>
      <c r="AT688" s="303"/>
      <c r="AU688" s="303"/>
      <c r="AV688" s="303"/>
      <c r="AW688" s="213"/>
      <c r="AX688" s="213"/>
      <c r="AY688" s="213"/>
      <c r="AZ688" s="213"/>
      <c r="BA688" s="213"/>
      <c r="BB688" s="213"/>
      <c r="BC688" s="213"/>
      <c r="BD688" s="213"/>
      <c r="BE688" s="213"/>
      <c r="BF688" s="213"/>
      <c r="BG688" s="213"/>
      <c r="BH688" s="213"/>
      <c r="BI688" s="213"/>
      <c r="BJ688" s="213"/>
    </row>
    <row r="689" spans="19:62" customFormat="1" ht="15.6">
      <c r="S689" s="277"/>
      <c r="T689" s="277"/>
      <c r="U689" s="277"/>
      <c r="V689" s="277"/>
      <c r="W689" s="277"/>
      <c r="X689" s="277"/>
      <c r="Y689" s="277"/>
      <c r="Z689" s="277"/>
      <c r="AA689" s="277"/>
      <c r="AB689" s="277"/>
      <c r="AC689" s="277"/>
      <c r="AD689" s="277"/>
      <c r="AE689" s="277"/>
      <c r="AF689" s="277"/>
      <c r="AG689" s="277"/>
      <c r="AH689" s="277"/>
      <c r="AI689" s="277"/>
      <c r="AJ689" s="216"/>
      <c r="AK689" s="304"/>
      <c r="AL689" s="303"/>
      <c r="AM689" s="303"/>
      <c r="AN689" s="304"/>
      <c r="AO689" s="277"/>
      <c r="AP689" s="303"/>
      <c r="AQ689" s="303"/>
      <c r="AR689" s="304"/>
      <c r="AS689" s="303"/>
      <c r="AT689" s="303"/>
      <c r="AU689" s="303"/>
      <c r="AV689" s="303"/>
      <c r="AW689" s="213"/>
      <c r="AX689" s="213"/>
      <c r="AY689" s="213"/>
      <c r="AZ689" s="213"/>
      <c r="BA689" s="213"/>
      <c r="BB689" s="213"/>
      <c r="BC689" s="213"/>
      <c r="BD689" s="213"/>
      <c r="BE689" s="213"/>
      <c r="BF689" s="213"/>
      <c r="BG689" s="213"/>
      <c r="BH689" s="213"/>
      <c r="BI689" s="213"/>
      <c r="BJ689" s="213"/>
    </row>
    <row r="690" spans="19:62" customFormat="1" ht="15.6">
      <c r="S690" s="277"/>
      <c r="T690" s="277"/>
      <c r="U690" s="277"/>
      <c r="V690" s="277"/>
      <c r="W690" s="277"/>
      <c r="X690" s="277"/>
      <c r="Y690" s="277"/>
      <c r="Z690" s="277"/>
      <c r="AA690" s="277"/>
      <c r="AB690" s="277"/>
      <c r="AC690" s="277"/>
      <c r="AD690" s="277"/>
      <c r="AE690" s="277"/>
      <c r="AF690" s="277"/>
      <c r="AG690" s="277"/>
      <c r="AH690" s="277"/>
      <c r="AI690" s="277"/>
      <c r="AJ690" s="216"/>
      <c r="AK690" s="304"/>
      <c r="AL690" s="303"/>
      <c r="AM690" s="303"/>
      <c r="AN690" s="304"/>
      <c r="AO690" s="277"/>
      <c r="AP690" s="303"/>
      <c r="AQ690" s="303"/>
      <c r="AR690" s="304"/>
      <c r="AS690" s="303"/>
      <c r="AT690" s="303"/>
      <c r="AU690" s="303"/>
      <c r="AV690" s="303"/>
      <c r="AW690" s="213"/>
      <c r="AX690" s="213"/>
      <c r="AY690" s="213"/>
      <c r="AZ690" s="213"/>
      <c r="BA690" s="213"/>
      <c r="BB690" s="213"/>
      <c r="BC690" s="213"/>
      <c r="BD690" s="213"/>
      <c r="BE690" s="213"/>
      <c r="BF690" s="213"/>
      <c r="BG690" s="213"/>
      <c r="BH690" s="213"/>
      <c r="BI690" s="213"/>
      <c r="BJ690" s="213"/>
    </row>
    <row r="691" spans="19:62" customFormat="1" ht="15.6">
      <c r="S691" s="277"/>
      <c r="T691" s="277"/>
      <c r="U691" s="277"/>
      <c r="V691" s="277"/>
      <c r="W691" s="277"/>
      <c r="X691" s="277"/>
      <c r="Y691" s="277"/>
      <c r="Z691" s="277"/>
      <c r="AA691" s="277"/>
      <c r="AB691" s="277"/>
      <c r="AC691" s="277"/>
      <c r="AD691" s="277"/>
      <c r="AE691" s="277"/>
      <c r="AF691" s="277"/>
      <c r="AG691" s="277"/>
      <c r="AH691" s="277"/>
      <c r="AI691" s="277"/>
      <c r="AJ691" s="216"/>
      <c r="AK691" s="304"/>
      <c r="AL691" s="303"/>
      <c r="AM691" s="303"/>
      <c r="AN691" s="312"/>
      <c r="AO691" s="277"/>
      <c r="AP691" s="303"/>
      <c r="AQ691" s="303"/>
      <c r="AR691" s="304"/>
      <c r="AS691" s="303"/>
      <c r="AT691" s="303"/>
      <c r="AU691" s="303"/>
      <c r="AV691" s="303"/>
      <c r="AW691" s="213"/>
      <c r="AX691" s="213"/>
      <c r="AY691" s="213"/>
      <c r="AZ691" s="213"/>
      <c r="BA691" s="213"/>
      <c r="BB691" s="213"/>
      <c r="BC691" s="213"/>
      <c r="BD691" s="213"/>
      <c r="BE691" s="213"/>
      <c r="BF691" s="213"/>
      <c r="BG691" s="213"/>
      <c r="BH691" s="213"/>
      <c r="BI691" s="213"/>
      <c r="BJ691" s="213"/>
    </row>
    <row r="692" spans="19:62" customFormat="1" ht="15.6">
      <c r="S692" s="277"/>
      <c r="T692" s="277"/>
      <c r="U692" s="277"/>
      <c r="V692" s="277"/>
      <c r="W692" s="277"/>
      <c r="X692" s="277"/>
      <c r="Y692" s="277"/>
      <c r="Z692" s="277"/>
      <c r="AA692" s="277"/>
      <c r="AB692" s="277"/>
      <c r="AC692" s="277"/>
      <c r="AD692" s="277"/>
      <c r="AE692" s="277"/>
      <c r="AF692" s="277"/>
      <c r="AG692" s="277"/>
      <c r="AH692" s="277"/>
      <c r="AI692" s="277"/>
      <c r="AJ692" s="216"/>
      <c r="AK692" s="304"/>
      <c r="AL692" s="303"/>
      <c r="AM692" s="303"/>
      <c r="AN692" s="304"/>
      <c r="AO692" s="277"/>
      <c r="AP692" s="303"/>
      <c r="AQ692" s="303"/>
      <c r="AR692" s="304"/>
      <c r="AS692" s="303"/>
      <c r="AT692" s="303"/>
      <c r="AU692" s="303"/>
      <c r="AV692" s="303"/>
      <c r="AW692" s="213"/>
      <c r="AX692" s="213"/>
      <c r="AY692" s="213"/>
      <c r="AZ692" s="213"/>
      <c r="BA692" s="213"/>
      <c r="BB692" s="213"/>
      <c r="BC692" s="213"/>
      <c r="BD692" s="213"/>
      <c r="BE692" s="213"/>
      <c r="BF692" s="213"/>
      <c r="BG692" s="213"/>
      <c r="BH692" s="213"/>
      <c r="BI692" s="213"/>
      <c r="BJ692" s="213"/>
    </row>
    <row r="693" spans="19:62" customFormat="1" ht="15.6">
      <c r="S693" s="277"/>
      <c r="T693" s="277"/>
      <c r="U693" s="277"/>
      <c r="V693" s="277"/>
      <c r="W693" s="277"/>
      <c r="X693" s="277"/>
      <c r="Y693" s="277"/>
      <c r="Z693" s="277"/>
      <c r="AA693" s="277"/>
      <c r="AB693" s="277"/>
      <c r="AC693" s="277"/>
      <c r="AD693" s="277"/>
      <c r="AE693" s="277"/>
      <c r="AF693" s="277"/>
      <c r="AG693" s="277"/>
      <c r="AH693" s="277"/>
      <c r="AI693" s="277"/>
      <c r="AJ693" s="216"/>
      <c r="AK693" s="304"/>
      <c r="AL693" s="303"/>
      <c r="AM693" s="303"/>
      <c r="AN693" s="304"/>
      <c r="AO693" s="277"/>
      <c r="AP693" s="303"/>
      <c r="AQ693" s="303"/>
      <c r="AR693" s="304"/>
      <c r="AS693" s="303"/>
      <c r="AT693" s="303"/>
      <c r="AU693" s="303"/>
      <c r="AV693" s="303"/>
      <c r="AW693" s="213"/>
      <c r="AX693" s="213"/>
      <c r="AY693" s="213"/>
      <c r="AZ693" s="213"/>
      <c r="BA693" s="213"/>
      <c r="BB693" s="213"/>
      <c r="BC693" s="213"/>
      <c r="BD693" s="213"/>
      <c r="BE693" s="213"/>
      <c r="BF693" s="213"/>
      <c r="BG693" s="213"/>
      <c r="BH693" s="213"/>
      <c r="BI693" s="213"/>
      <c r="BJ693" s="213"/>
    </row>
    <row r="694" spans="19:62" customFormat="1" ht="15.6">
      <c r="S694" s="277"/>
      <c r="T694" s="277"/>
      <c r="U694" s="277"/>
      <c r="V694" s="277"/>
      <c r="W694" s="277"/>
      <c r="X694" s="277"/>
      <c r="Y694" s="277"/>
      <c r="Z694" s="277"/>
      <c r="AA694" s="277"/>
      <c r="AB694" s="277"/>
      <c r="AC694" s="277"/>
      <c r="AD694" s="277"/>
      <c r="AE694" s="277"/>
      <c r="AF694" s="277"/>
      <c r="AG694" s="277"/>
      <c r="AH694" s="277"/>
      <c r="AI694" s="277"/>
      <c r="AJ694" s="216"/>
      <c r="AK694" s="304"/>
      <c r="AL694" s="303"/>
      <c r="AM694" s="303"/>
      <c r="AN694" s="304"/>
      <c r="AO694" s="277"/>
      <c r="AP694" s="303"/>
      <c r="AQ694" s="303"/>
      <c r="AR694" s="304"/>
      <c r="AS694" s="303"/>
      <c r="AT694" s="303"/>
      <c r="AU694" s="303"/>
      <c r="AV694" s="303"/>
      <c r="AW694" s="213"/>
      <c r="AX694" s="213"/>
      <c r="AY694" s="213"/>
      <c r="AZ694" s="213"/>
      <c r="BA694" s="213"/>
      <c r="BB694" s="213"/>
      <c r="BC694" s="213"/>
      <c r="BD694" s="213"/>
      <c r="BE694" s="213"/>
      <c r="BF694" s="213"/>
      <c r="BG694" s="213"/>
      <c r="BH694" s="213"/>
      <c r="BI694" s="213"/>
      <c r="BJ694" s="213"/>
    </row>
    <row r="695" spans="19:62" customFormat="1" ht="15.6">
      <c r="S695" s="277"/>
      <c r="T695" s="277"/>
      <c r="U695" s="277"/>
      <c r="V695" s="277"/>
      <c r="W695" s="277"/>
      <c r="X695" s="277"/>
      <c r="Y695" s="277"/>
      <c r="Z695" s="277"/>
      <c r="AA695" s="277"/>
      <c r="AB695" s="277"/>
      <c r="AC695" s="277"/>
      <c r="AD695" s="277"/>
      <c r="AE695" s="277"/>
      <c r="AF695" s="277"/>
      <c r="AG695" s="277"/>
      <c r="AH695" s="277"/>
      <c r="AI695" s="277"/>
      <c r="AJ695" s="216"/>
      <c r="AK695" s="304"/>
      <c r="AL695" s="303"/>
      <c r="AM695" s="303"/>
      <c r="AN695" s="304"/>
      <c r="AO695" s="277"/>
      <c r="AP695" s="303"/>
      <c r="AQ695" s="303"/>
      <c r="AR695" s="304"/>
      <c r="AS695" s="303"/>
      <c r="AT695" s="303"/>
      <c r="AU695" s="303"/>
      <c r="AV695" s="303"/>
      <c r="AW695" s="213"/>
      <c r="AX695" s="213"/>
      <c r="AY695" s="213"/>
      <c r="AZ695" s="213"/>
      <c r="BA695" s="213"/>
      <c r="BB695" s="213"/>
      <c r="BC695" s="213"/>
      <c r="BD695" s="213"/>
      <c r="BE695" s="213"/>
      <c r="BF695" s="213"/>
      <c r="BG695" s="213"/>
      <c r="BH695" s="213"/>
      <c r="BI695" s="213"/>
      <c r="BJ695" s="213"/>
    </row>
    <row r="696" spans="19:62" customFormat="1" ht="15.6">
      <c r="S696" s="277"/>
      <c r="T696" s="277"/>
      <c r="U696" s="277"/>
      <c r="V696" s="277"/>
      <c r="W696" s="277"/>
      <c r="X696" s="277"/>
      <c r="Y696" s="277"/>
      <c r="Z696" s="277"/>
      <c r="AA696" s="277"/>
      <c r="AB696" s="277"/>
      <c r="AC696" s="277"/>
      <c r="AD696" s="277"/>
      <c r="AE696" s="277"/>
      <c r="AF696" s="277"/>
      <c r="AG696" s="277"/>
      <c r="AH696" s="277"/>
      <c r="AI696" s="277"/>
      <c r="AJ696" s="216"/>
      <c r="AK696" s="304"/>
      <c r="AL696" s="303"/>
      <c r="AM696" s="303"/>
      <c r="AN696" s="304"/>
      <c r="AO696" s="277"/>
      <c r="AP696" s="303"/>
      <c r="AQ696" s="303"/>
      <c r="AR696" s="304"/>
      <c r="AS696" s="303"/>
      <c r="AT696" s="303"/>
      <c r="AU696" s="303"/>
      <c r="AV696" s="303"/>
      <c r="AW696" s="213"/>
      <c r="AX696" s="213"/>
      <c r="AY696" s="213"/>
      <c r="AZ696" s="213"/>
      <c r="BA696" s="213"/>
      <c r="BB696" s="213"/>
      <c r="BC696" s="213"/>
      <c r="BD696" s="213"/>
      <c r="BE696" s="213"/>
      <c r="BF696" s="213"/>
      <c r="BG696" s="213"/>
      <c r="BH696" s="213"/>
      <c r="BI696" s="213"/>
      <c r="BJ696" s="213"/>
    </row>
    <row r="697" spans="19:62" customFormat="1" ht="15.6">
      <c r="S697" s="277"/>
      <c r="T697" s="277"/>
      <c r="U697" s="277"/>
      <c r="V697" s="277"/>
      <c r="W697" s="277"/>
      <c r="X697" s="277"/>
      <c r="Y697" s="277"/>
      <c r="Z697" s="277"/>
      <c r="AA697" s="277"/>
      <c r="AB697" s="277"/>
      <c r="AC697" s="277"/>
      <c r="AD697" s="277"/>
      <c r="AE697" s="277"/>
      <c r="AF697" s="277"/>
      <c r="AG697" s="277"/>
      <c r="AH697" s="277"/>
      <c r="AI697" s="277"/>
      <c r="AJ697" s="216"/>
      <c r="AK697" s="304"/>
      <c r="AL697" s="303"/>
      <c r="AM697" s="303"/>
      <c r="AN697" s="304"/>
      <c r="AO697" s="277"/>
      <c r="AP697" s="303"/>
      <c r="AQ697" s="303"/>
      <c r="AR697" s="304"/>
      <c r="AS697" s="303"/>
      <c r="AT697" s="303"/>
      <c r="AU697" s="303"/>
      <c r="AV697" s="303"/>
      <c r="AW697" s="213"/>
      <c r="AX697" s="213"/>
      <c r="AY697" s="213"/>
      <c r="AZ697" s="213"/>
      <c r="BA697" s="213"/>
      <c r="BB697" s="213"/>
      <c r="BC697" s="213"/>
      <c r="BD697" s="213"/>
      <c r="BE697" s="213"/>
      <c r="BF697" s="213"/>
      <c r="BG697" s="213"/>
      <c r="BH697" s="213"/>
      <c r="BI697" s="213"/>
      <c r="BJ697" s="213"/>
    </row>
    <row r="698" spans="19:62" customFormat="1" ht="15.6">
      <c r="S698" s="277"/>
      <c r="T698" s="277"/>
      <c r="U698" s="277"/>
      <c r="V698" s="277"/>
      <c r="W698" s="277"/>
      <c r="X698" s="277"/>
      <c r="Y698" s="277"/>
      <c r="Z698" s="277"/>
      <c r="AA698" s="277"/>
      <c r="AB698" s="277"/>
      <c r="AC698" s="277"/>
      <c r="AD698" s="277"/>
      <c r="AE698" s="277"/>
      <c r="AF698" s="277"/>
      <c r="AG698" s="277"/>
      <c r="AH698" s="277"/>
      <c r="AI698" s="277"/>
      <c r="AJ698" s="216"/>
      <c r="AK698" s="304"/>
      <c r="AL698" s="303"/>
      <c r="AM698" s="303"/>
      <c r="AN698" s="304"/>
      <c r="AO698" s="277"/>
      <c r="AP698" s="303"/>
      <c r="AQ698" s="303"/>
      <c r="AR698" s="304"/>
      <c r="AS698" s="303"/>
      <c r="AT698" s="303"/>
      <c r="AU698" s="303"/>
      <c r="AV698" s="303"/>
      <c r="AW698" s="213"/>
      <c r="AX698" s="213"/>
      <c r="AY698" s="213"/>
      <c r="AZ698" s="213"/>
      <c r="BA698" s="213"/>
      <c r="BB698" s="213"/>
      <c r="BC698" s="213"/>
      <c r="BD698" s="213"/>
      <c r="BE698" s="213"/>
      <c r="BF698" s="213"/>
      <c r="BG698" s="213"/>
      <c r="BH698" s="213"/>
      <c r="BI698" s="213"/>
      <c r="BJ698" s="213"/>
    </row>
    <row r="699" spans="19:62" customFormat="1" ht="15.6">
      <c r="S699" s="277"/>
      <c r="T699" s="277"/>
      <c r="U699" s="277"/>
      <c r="V699" s="277"/>
      <c r="W699" s="277"/>
      <c r="X699" s="277"/>
      <c r="Y699" s="277"/>
      <c r="Z699" s="277"/>
      <c r="AA699" s="277"/>
      <c r="AB699" s="277"/>
      <c r="AC699" s="277"/>
      <c r="AD699" s="277"/>
      <c r="AE699" s="277"/>
      <c r="AF699" s="277"/>
      <c r="AG699" s="277"/>
      <c r="AH699" s="277"/>
      <c r="AI699" s="277"/>
      <c r="AJ699" s="216"/>
      <c r="AK699" s="304"/>
      <c r="AL699" s="303"/>
      <c r="AM699" s="303"/>
      <c r="AN699" s="304"/>
      <c r="AO699" s="277"/>
      <c r="AP699" s="303"/>
      <c r="AQ699" s="303"/>
      <c r="AR699" s="304"/>
      <c r="AS699" s="303"/>
      <c r="AT699" s="303"/>
      <c r="AU699" s="303"/>
      <c r="AV699" s="303"/>
      <c r="AW699" s="213"/>
      <c r="AX699" s="213"/>
      <c r="AY699" s="213"/>
      <c r="AZ699" s="213"/>
      <c r="BA699" s="213"/>
      <c r="BB699" s="213"/>
      <c r="BC699" s="213"/>
      <c r="BD699" s="213"/>
      <c r="BE699" s="213"/>
      <c r="BF699" s="213"/>
      <c r="BG699" s="213"/>
      <c r="BH699" s="213"/>
      <c r="BI699" s="213"/>
      <c r="BJ699" s="213"/>
    </row>
    <row r="700" spans="19:62" customFormat="1" ht="15.6">
      <c r="S700" s="277"/>
      <c r="T700" s="277"/>
      <c r="U700" s="277"/>
      <c r="V700" s="277"/>
      <c r="W700" s="277"/>
      <c r="X700" s="277"/>
      <c r="Y700" s="277"/>
      <c r="Z700" s="277"/>
      <c r="AA700" s="277"/>
      <c r="AB700" s="277"/>
      <c r="AC700" s="277"/>
      <c r="AD700" s="277"/>
      <c r="AE700" s="277"/>
      <c r="AF700" s="277"/>
      <c r="AG700" s="277"/>
      <c r="AH700" s="277"/>
      <c r="AI700" s="277"/>
      <c r="AJ700" s="216"/>
      <c r="AK700" s="304"/>
      <c r="AL700" s="303"/>
      <c r="AM700" s="303"/>
      <c r="AN700" s="304"/>
      <c r="AO700" s="277"/>
      <c r="AP700" s="303"/>
      <c r="AQ700" s="303"/>
      <c r="AR700" s="304"/>
      <c r="AS700" s="303"/>
      <c r="AT700" s="303"/>
      <c r="AU700" s="303"/>
      <c r="AV700" s="303"/>
      <c r="AW700" s="213"/>
      <c r="AX700" s="213"/>
      <c r="AY700" s="213"/>
      <c r="AZ700" s="213"/>
      <c r="BA700" s="213"/>
      <c r="BB700" s="213"/>
      <c r="BC700" s="213"/>
      <c r="BD700" s="213"/>
      <c r="BE700" s="213"/>
      <c r="BF700" s="213"/>
      <c r="BG700" s="213"/>
      <c r="BH700" s="213"/>
      <c r="BI700" s="213"/>
      <c r="BJ700" s="213"/>
    </row>
    <row r="701" spans="19:62" customFormat="1" ht="15.6">
      <c r="S701" s="277"/>
      <c r="T701" s="277"/>
      <c r="U701" s="277"/>
      <c r="V701" s="277"/>
      <c r="W701" s="277"/>
      <c r="X701" s="277"/>
      <c r="Y701" s="277"/>
      <c r="Z701" s="277"/>
      <c r="AA701" s="277"/>
      <c r="AB701" s="277"/>
      <c r="AC701" s="277"/>
      <c r="AD701" s="277"/>
      <c r="AE701" s="277"/>
      <c r="AF701" s="277"/>
      <c r="AG701" s="277"/>
      <c r="AH701" s="277"/>
      <c r="AI701" s="277"/>
      <c r="AJ701" s="216"/>
      <c r="AK701" s="304"/>
      <c r="AL701" s="303"/>
      <c r="AM701" s="303"/>
      <c r="AN701" s="304"/>
      <c r="AO701" s="277"/>
      <c r="AP701" s="303"/>
      <c r="AQ701" s="303"/>
      <c r="AR701" s="304"/>
      <c r="AS701" s="303"/>
      <c r="AT701" s="303"/>
      <c r="AU701" s="303"/>
      <c r="AV701" s="303"/>
      <c r="AW701" s="213"/>
      <c r="AX701" s="213"/>
      <c r="AY701" s="213"/>
      <c r="AZ701" s="213"/>
      <c r="BA701" s="213"/>
      <c r="BB701" s="213"/>
      <c r="BC701" s="213"/>
      <c r="BD701" s="213"/>
      <c r="BE701" s="213"/>
      <c r="BF701" s="213"/>
      <c r="BG701" s="213"/>
      <c r="BH701" s="213"/>
      <c r="BI701" s="213"/>
      <c r="BJ701" s="213"/>
    </row>
    <row r="702" spans="19:62" customFormat="1" ht="15.6">
      <c r="S702" s="277"/>
      <c r="T702" s="277"/>
      <c r="U702" s="277"/>
      <c r="V702" s="277"/>
      <c r="W702" s="277"/>
      <c r="X702" s="277"/>
      <c r="Y702" s="277"/>
      <c r="Z702" s="277"/>
      <c r="AA702" s="277"/>
      <c r="AB702" s="277"/>
      <c r="AC702" s="277"/>
      <c r="AD702" s="277"/>
      <c r="AE702" s="277"/>
      <c r="AF702" s="277"/>
      <c r="AG702" s="277"/>
      <c r="AH702" s="277"/>
      <c r="AI702" s="277"/>
      <c r="AJ702" s="216"/>
      <c r="AK702" s="304"/>
      <c r="AL702" s="303"/>
      <c r="AM702" s="303"/>
      <c r="AN702" s="304"/>
      <c r="AO702" s="277"/>
      <c r="AP702" s="303"/>
      <c r="AQ702" s="303"/>
      <c r="AR702" s="304"/>
      <c r="AS702" s="303"/>
      <c r="AT702" s="303"/>
      <c r="AU702" s="303"/>
      <c r="AV702" s="303"/>
      <c r="AW702" s="213"/>
      <c r="AX702" s="213"/>
      <c r="AY702" s="213"/>
      <c r="AZ702" s="213"/>
      <c r="BA702" s="213"/>
      <c r="BB702" s="213"/>
      <c r="BC702" s="213"/>
      <c r="BD702" s="213"/>
      <c r="BE702" s="213"/>
      <c r="BF702" s="213"/>
      <c r="BG702" s="213"/>
      <c r="BH702" s="213"/>
      <c r="BI702" s="213"/>
      <c r="BJ702" s="213"/>
    </row>
    <row r="703" spans="19:62" customFormat="1" ht="15.6">
      <c r="S703" s="277"/>
      <c r="T703" s="277"/>
      <c r="U703" s="277"/>
      <c r="V703" s="277"/>
      <c r="W703" s="277"/>
      <c r="X703" s="277"/>
      <c r="Y703" s="277"/>
      <c r="Z703" s="277"/>
      <c r="AA703" s="277"/>
      <c r="AB703" s="277"/>
      <c r="AC703" s="277"/>
      <c r="AD703" s="277"/>
      <c r="AE703" s="277"/>
      <c r="AF703" s="277"/>
      <c r="AG703" s="277"/>
      <c r="AH703" s="277"/>
      <c r="AI703" s="277"/>
      <c r="AJ703" s="216"/>
      <c r="AK703" s="304"/>
      <c r="AL703" s="303"/>
      <c r="AM703" s="303"/>
      <c r="AN703" s="304"/>
      <c r="AO703" s="277"/>
      <c r="AP703" s="303"/>
      <c r="AQ703" s="303"/>
      <c r="AR703" s="304"/>
      <c r="AS703" s="303"/>
      <c r="AT703" s="303"/>
      <c r="AU703" s="303"/>
      <c r="AV703" s="303"/>
      <c r="AW703" s="213"/>
      <c r="AX703" s="213"/>
      <c r="AY703" s="213"/>
      <c r="AZ703" s="213"/>
      <c r="BA703" s="213"/>
      <c r="BB703" s="213"/>
      <c r="BC703" s="213"/>
      <c r="BD703" s="213"/>
      <c r="BE703" s="213"/>
      <c r="BF703" s="213"/>
      <c r="BG703" s="213"/>
      <c r="BH703" s="213"/>
      <c r="BI703" s="213"/>
      <c r="BJ703" s="213"/>
    </row>
    <row r="704" spans="19:62" customFormat="1" ht="15.6">
      <c r="S704" s="277"/>
      <c r="T704" s="277"/>
      <c r="U704" s="277"/>
      <c r="V704" s="277"/>
      <c r="W704" s="277"/>
      <c r="X704" s="277"/>
      <c r="Y704" s="277"/>
      <c r="Z704" s="277"/>
      <c r="AA704" s="277"/>
      <c r="AB704" s="277"/>
      <c r="AC704" s="277"/>
      <c r="AD704" s="277"/>
      <c r="AE704" s="277"/>
      <c r="AF704" s="277"/>
      <c r="AG704" s="277"/>
      <c r="AH704" s="277"/>
      <c r="AI704" s="277"/>
      <c r="AJ704" s="216"/>
      <c r="AK704" s="304"/>
      <c r="AL704" s="303"/>
      <c r="AM704" s="303"/>
      <c r="AN704" s="304"/>
      <c r="AO704" s="277"/>
      <c r="AP704" s="303"/>
      <c r="AQ704" s="303"/>
      <c r="AR704" s="304"/>
      <c r="AS704" s="303"/>
      <c r="AT704" s="303"/>
      <c r="AU704" s="303"/>
      <c r="AV704" s="303"/>
      <c r="AW704" s="213"/>
      <c r="AX704" s="213"/>
      <c r="AY704" s="213"/>
      <c r="AZ704" s="213"/>
      <c r="BA704" s="213"/>
      <c r="BB704" s="213"/>
      <c r="BC704" s="213"/>
      <c r="BD704" s="213"/>
      <c r="BE704" s="213"/>
      <c r="BF704" s="213"/>
      <c r="BG704" s="213"/>
      <c r="BH704" s="213"/>
      <c r="BI704" s="213"/>
      <c r="BJ704" s="213"/>
    </row>
    <row r="705" spans="19:62" customFormat="1" ht="15.6">
      <c r="S705" s="277"/>
      <c r="T705" s="277"/>
      <c r="U705" s="277"/>
      <c r="V705" s="277"/>
      <c r="W705" s="277"/>
      <c r="X705" s="277"/>
      <c r="Y705" s="277"/>
      <c r="Z705" s="277"/>
      <c r="AA705" s="277"/>
      <c r="AB705" s="277"/>
      <c r="AC705" s="277"/>
      <c r="AD705" s="277"/>
      <c r="AE705" s="277"/>
      <c r="AF705" s="277"/>
      <c r="AG705" s="277"/>
      <c r="AH705" s="277"/>
      <c r="AI705" s="277"/>
      <c r="AJ705" s="216"/>
      <c r="AK705" s="304"/>
      <c r="AL705" s="303"/>
      <c r="AM705" s="303"/>
      <c r="AN705" s="304"/>
      <c r="AO705" s="277"/>
      <c r="AP705" s="303"/>
      <c r="AQ705" s="303"/>
      <c r="AR705" s="304"/>
      <c r="AS705" s="303"/>
      <c r="AT705" s="303"/>
      <c r="AU705" s="303"/>
      <c r="AV705" s="303"/>
      <c r="AW705" s="213"/>
      <c r="AX705" s="213"/>
      <c r="AY705" s="213"/>
      <c r="AZ705" s="213"/>
      <c r="BA705" s="213"/>
      <c r="BB705" s="213"/>
      <c r="BC705" s="213"/>
      <c r="BD705" s="213"/>
      <c r="BE705" s="213"/>
      <c r="BF705" s="213"/>
      <c r="BG705" s="213"/>
      <c r="BH705" s="213"/>
      <c r="BI705" s="213"/>
      <c r="BJ705" s="213"/>
    </row>
    <row r="706" spans="19:62" customFormat="1" ht="15.6">
      <c r="S706" s="277"/>
      <c r="T706" s="277"/>
      <c r="U706" s="277"/>
      <c r="V706" s="277"/>
      <c r="W706" s="277"/>
      <c r="X706" s="277"/>
      <c r="Y706" s="277"/>
      <c r="Z706" s="277"/>
      <c r="AA706" s="277"/>
      <c r="AB706" s="277"/>
      <c r="AC706" s="277"/>
      <c r="AD706" s="277"/>
      <c r="AE706" s="277"/>
      <c r="AF706" s="277"/>
      <c r="AG706" s="277"/>
      <c r="AH706" s="277"/>
      <c r="AI706" s="277"/>
      <c r="AJ706" s="216"/>
      <c r="AK706" s="304"/>
      <c r="AL706" s="303"/>
      <c r="AM706" s="303"/>
      <c r="AN706" s="304"/>
      <c r="AO706" s="277"/>
      <c r="AP706" s="303"/>
      <c r="AQ706" s="303"/>
      <c r="AR706" s="304"/>
      <c r="AS706" s="303"/>
      <c r="AT706" s="303"/>
      <c r="AU706" s="303"/>
      <c r="AV706" s="303"/>
      <c r="AW706" s="213"/>
      <c r="AX706" s="213"/>
      <c r="AY706" s="213"/>
      <c r="AZ706" s="213"/>
      <c r="BA706" s="213"/>
      <c r="BB706" s="213"/>
      <c r="BC706" s="213"/>
      <c r="BD706" s="213"/>
      <c r="BE706" s="213"/>
      <c r="BF706" s="213"/>
      <c r="BG706" s="213"/>
      <c r="BH706" s="213"/>
      <c r="BI706" s="213"/>
      <c r="BJ706" s="213"/>
    </row>
    <row r="707" spans="19:62" customFormat="1" ht="15.6">
      <c r="S707" s="277"/>
      <c r="T707" s="277"/>
      <c r="U707" s="277"/>
      <c r="V707" s="277"/>
      <c r="W707" s="277"/>
      <c r="X707" s="277"/>
      <c r="Y707" s="277"/>
      <c r="Z707" s="277"/>
      <c r="AA707" s="277"/>
      <c r="AB707" s="277"/>
      <c r="AC707" s="277"/>
      <c r="AD707" s="277"/>
      <c r="AE707" s="277"/>
      <c r="AF707" s="277"/>
      <c r="AG707" s="277"/>
      <c r="AH707" s="277"/>
      <c r="AI707" s="277"/>
      <c r="AJ707" s="216"/>
      <c r="AK707" s="304"/>
      <c r="AL707" s="303"/>
      <c r="AM707" s="303"/>
      <c r="AN707" s="304"/>
      <c r="AO707" s="277"/>
      <c r="AP707" s="303"/>
      <c r="AQ707" s="303"/>
      <c r="AR707" s="304"/>
      <c r="AS707" s="303"/>
      <c r="AT707" s="303"/>
      <c r="AU707" s="303"/>
      <c r="AV707" s="303"/>
      <c r="AW707" s="213"/>
      <c r="AX707" s="213"/>
      <c r="AY707" s="213"/>
      <c r="AZ707" s="213"/>
      <c r="BA707" s="213"/>
      <c r="BB707" s="213"/>
      <c r="BC707" s="213"/>
      <c r="BD707" s="213"/>
      <c r="BE707" s="213"/>
      <c r="BF707" s="213"/>
      <c r="BG707" s="213"/>
      <c r="BH707" s="213"/>
      <c r="BI707" s="213"/>
      <c r="BJ707" s="213"/>
    </row>
    <row r="708" spans="19:62" customFormat="1" ht="15.6">
      <c r="S708" s="277"/>
      <c r="T708" s="277"/>
      <c r="U708" s="277"/>
      <c r="V708" s="277"/>
      <c r="W708" s="277"/>
      <c r="X708" s="277"/>
      <c r="Y708" s="277"/>
      <c r="Z708" s="277"/>
      <c r="AA708" s="277"/>
      <c r="AB708" s="277"/>
      <c r="AC708" s="277"/>
      <c r="AD708" s="277"/>
      <c r="AE708" s="277"/>
      <c r="AF708" s="277"/>
      <c r="AG708" s="277"/>
      <c r="AH708" s="277"/>
      <c r="AI708" s="277"/>
      <c r="AJ708" s="216"/>
      <c r="AK708" s="304"/>
      <c r="AL708" s="303"/>
      <c r="AM708" s="303"/>
      <c r="AN708" s="304"/>
      <c r="AO708" s="277"/>
      <c r="AP708" s="303"/>
      <c r="AQ708" s="303"/>
      <c r="AR708" s="304"/>
      <c r="AS708" s="303"/>
      <c r="AT708" s="303"/>
      <c r="AU708" s="303"/>
      <c r="AV708" s="303"/>
      <c r="AW708" s="213"/>
      <c r="AX708" s="213"/>
      <c r="AY708" s="213"/>
      <c r="AZ708" s="213"/>
      <c r="BA708" s="213"/>
      <c r="BB708" s="213"/>
      <c r="BC708" s="213"/>
      <c r="BD708" s="213"/>
      <c r="BE708" s="213"/>
      <c r="BF708" s="213"/>
      <c r="BG708" s="213"/>
      <c r="BH708" s="213"/>
      <c r="BI708" s="213"/>
      <c r="BJ708" s="213"/>
    </row>
    <row r="709" spans="19:62" customFormat="1" ht="15.6">
      <c r="S709" s="277"/>
      <c r="T709" s="277"/>
      <c r="U709" s="277"/>
      <c r="V709" s="277"/>
      <c r="W709" s="277"/>
      <c r="X709" s="277"/>
      <c r="Y709" s="277"/>
      <c r="Z709" s="277"/>
      <c r="AA709" s="277"/>
      <c r="AB709" s="277"/>
      <c r="AC709" s="277"/>
      <c r="AD709" s="277"/>
      <c r="AE709" s="277"/>
      <c r="AF709" s="277"/>
      <c r="AG709" s="277"/>
      <c r="AH709" s="277"/>
      <c r="AI709" s="277"/>
      <c r="AJ709" s="216"/>
      <c r="AK709" s="304"/>
      <c r="AL709" s="303"/>
      <c r="AM709" s="303"/>
      <c r="AN709" s="304"/>
      <c r="AO709" s="277"/>
      <c r="AP709" s="303"/>
      <c r="AQ709" s="303"/>
      <c r="AR709" s="304"/>
      <c r="AS709" s="303"/>
      <c r="AT709" s="303"/>
      <c r="AU709" s="303"/>
      <c r="AV709" s="303"/>
      <c r="AW709" s="213"/>
      <c r="AX709" s="213"/>
      <c r="AY709" s="213"/>
      <c r="AZ709" s="213"/>
      <c r="BA709" s="213"/>
      <c r="BB709" s="213"/>
      <c r="BC709" s="213"/>
      <c r="BD709" s="213"/>
      <c r="BE709" s="213"/>
      <c r="BF709" s="213"/>
      <c r="BG709" s="213"/>
      <c r="BH709" s="213"/>
      <c r="BI709" s="213"/>
      <c r="BJ709" s="213"/>
    </row>
    <row r="710" spans="19:62" customFormat="1" ht="15.6">
      <c r="S710" s="277"/>
      <c r="T710" s="277"/>
      <c r="U710" s="277"/>
      <c r="V710" s="277"/>
      <c r="W710" s="277"/>
      <c r="X710" s="277"/>
      <c r="Y710" s="277"/>
      <c r="Z710" s="277"/>
      <c r="AA710" s="277"/>
      <c r="AB710" s="277"/>
      <c r="AC710" s="277"/>
      <c r="AD710" s="277"/>
      <c r="AE710" s="277"/>
      <c r="AF710" s="277"/>
      <c r="AG710" s="277"/>
      <c r="AH710" s="277"/>
      <c r="AI710" s="277"/>
      <c r="AJ710" s="216"/>
      <c r="AK710" s="304"/>
      <c r="AL710" s="303"/>
      <c r="AM710" s="303"/>
      <c r="AN710" s="304"/>
      <c r="AO710" s="277"/>
      <c r="AP710" s="303"/>
      <c r="AQ710" s="303"/>
      <c r="AR710" s="304"/>
      <c r="AS710" s="303"/>
      <c r="AT710" s="303"/>
      <c r="AU710" s="303"/>
      <c r="AV710" s="303"/>
      <c r="AW710" s="213"/>
      <c r="AX710" s="213"/>
      <c r="AY710" s="213"/>
      <c r="AZ710" s="213"/>
      <c r="BA710" s="213"/>
      <c r="BB710" s="213"/>
      <c r="BC710" s="213"/>
      <c r="BD710" s="213"/>
      <c r="BE710" s="213"/>
      <c r="BF710" s="213"/>
      <c r="BG710" s="213"/>
      <c r="BH710" s="213"/>
      <c r="BI710" s="213"/>
      <c r="BJ710" s="213"/>
    </row>
    <row r="711" spans="19:62" customFormat="1" ht="15.6">
      <c r="S711" s="277"/>
      <c r="T711" s="277"/>
      <c r="U711" s="277"/>
      <c r="V711" s="277"/>
      <c r="W711" s="277"/>
      <c r="X711" s="277"/>
      <c r="Y711" s="277"/>
      <c r="Z711" s="277"/>
      <c r="AA711" s="277"/>
      <c r="AB711" s="277"/>
      <c r="AC711" s="277"/>
      <c r="AD711" s="277"/>
      <c r="AE711" s="277"/>
      <c r="AF711" s="277"/>
      <c r="AG711" s="277"/>
      <c r="AH711" s="277"/>
      <c r="AI711" s="277"/>
      <c r="AJ711" s="216"/>
      <c r="AK711" s="304"/>
      <c r="AL711" s="303"/>
      <c r="AM711" s="303"/>
      <c r="AN711" s="304"/>
      <c r="AO711" s="277"/>
      <c r="AP711" s="303"/>
      <c r="AQ711" s="303"/>
      <c r="AR711" s="304"/>
      <c r="AS711" s="303"/>
      <c r="AT711" s="303"/>
      <c r="AU711" s="303"/>
      <c r="AV711" s="303"/>
      <c r="AW711" s="213"/>
      <c r="AX711" s="213"/>
      <c r="AY711" s="213"/>
      <c r="AZ711" s="213"/>
      <c r="BA711" s="213"/>
      <c r="BB711" s="213"/>
      <c r="BC711" s="213"/>
      <c r="BD711" s="213"/>
      <c r="BE711" s="213"/>
      <c r="BF711" s="213"/>
      <c r="BG711" s="213"/>
      <c r="BH711" s="213"/>
      <c r="BI711" s="213"/>
      <c r="BJ711" s="213"/>
    </row>
    <row r="712" spans="19:62" customFormat="1" ht="15.6">
      <c r="S712" s="277"/>
      <c r="T712" s="277"/>
      <c r="U712" s="277"/>
      <c r="V712" s="277"/>
      <c r="W712" s="277"/>
      <c r="X712" s="277"/>
      <c r="Y712" s="277"/>
      <c r="Z712" s="277"/>
      <c r="AA712" s="277"/>
      <c r="AB712" s="277"/>
      <c r="AC712" s="277"/>
      <c r="AD712" s="277"/>
      <c r="AE712" s="277"/>
      <c r="AF712" s="277"/>
      <c r="AG712" s="277"/>
      <c r="AH712" s="277"/>
      <c r="AI712" s="277"/>
      <c r="AJ712" s="216"/>
      <c r="AK712" s="304"/>
      <c r="AL712" s="303"/>
      <c r="AM712" s="303"/>
      <c r="AN712" s="304"/>
      <c r="AO712" s="277"/>
      <c r="AP712" s="303"/>
      <c r="AQ712" s="303"/>
      <c r="AR712" s="304"/>
      <c r="AS712" s="303"/>
      <c r="AT712" s="303"/>
      <c r="AU712" s="303"/>
      <c r="AV712" s="303"/>
      <c r="AW712" s="213"/>
      <c r="AX712" s="213"/>
      <c r="AY712" s="213"/>
      <c r="AZ712" s="213"/>
      <c r="BA712" s="213"/>
      <c r="BB712" s="213"/>
      <c r="BC712" s="213"/>
      <c r="BD712" s="213"/>
      <c r="BE712" s="213"/>
      <c r="BF712" s="213"/>
      <c r="BG712" s="213"/>
      <c r="BH712" s="213"/>
      <c r="BI712" s="213"/>
      <c r="BJ712" s="213"/>
    </row>
    <row r="713" spans="19:62" customFormat="1" ht="15.6">
      <c r="S713" s="277"/>
      <c r="T713" s="277"/>
      <c r="U713" s="277"/>
      <c r="V713" s="277"/>
      <c r="W713" s="277"/>
      <c r="X713" s="277"/>
      <c r="Y713" s="277"/>
      <c r="Z713" s="277"/>
      <c r="AA713" s="277"/>
      <c r="AB713" s="277"/>
      <c r="AC713" s="277"/>
      <c r="AD713" s="277"/>
      <c r="AE713" s="277"/>
      <c r="AF713" s="277"/>
      <c r="AG713" s="277"/>
      <c r="AH713" s="277"/>
      <c r="AI713" s="277"/>
      <c r="AJ713" s="216"/>
      <c r="AK713" s="304"/>
      <c r="AL713" s="303"/>
      <c r="AM713" s="303"/>
      <c r="AN713" s="304"/>
      <c r="AO713" s="277"/>
      <c r="AP713" s="303"/>
      <c r="AQ713" s="303"/>
      <c r="AR713" s="304"/>
      <c r="AS713" s="303"/>
      <c r="AT713" s="303"/>
      <c r="AU713" s="303"/>
      <c r="AV713" s="303"/>
      <c r="AW713" s="213"/>
      <c r="AX713" s="213"/>
      <c r="AY713" s="213"/>
      <c r="AZ713" s="213"/>
      <c r="BA713" s="213"/>
      <c r="BB713" s="213"/>
      <c r="BC713" s="213"/>
      <c r="BD713" s="213"/>
      <c r="BE713" s="213"/>
      <c r="BF713" s="213"/>
      <c r="BG713" s="213"/>
      <c r="BH713" s="213"/>
      <c r="BI713" s="213"/>
      <c r="BJ713" s="213"/>
    </row>
    <row r="714" spans="19:62" customFormat="1" ht="15.6">
      <c r="S714" s="277"/>
      <c r="T714" s="277"/>
      <c r="U714" s="277"/>
      <c r="V714" s="277"/>
      <c r="W714" s="277"/>
      <c r="X714" s="277"/>
      <c r="Y714" s="277"/>
      <c r="Z714" s="277"/>
      <c r="AA714" s="277"/>
      <c r="AB714" s="277"/>
      <c r="AC714" s="277"/>
      <c r="AD714" s="277"/>
      <c r="AE714" s="277"/>
      <c r="AF714" s="277"/>
      <c r="AG714" s="277"/>
      <c r="AH714" s="277"/>
      <c r="AI714" s="277"/>
      <c r="AJ714" s="216"/>
      <c r="AK714" s="304"/>
      <c r="AL714" s="303"/>
      <c r="AM714" s="303"/>
      <c r="AN714" s="304"/>
      <c r="AO714" s="277"/>
      <c r="AP714" s="303"/>
      <c r="AQ714" s="303"/>
      <c r="AR714" s="304"/>
      <c r="AS714" s="303"/>
      <c r="AT714" s="303"/>
      <c r="AU714" s="303"/>
      <c r="AV714" s="303"/>
      <c r="AW714" s="213"/>
      <c r="AX714" s="213"/>
      <c r="AY714" s="213"/>
      <c r="AZ714" s="213"/>
      <c r="BA714" s="213"/>
      <c r="BB714" s="213"/>
      <c r="BC714" s="213"/>
      <c r="BD714" s="213"/>
      <c r="BE714" s="213"/>
      <c r="BF714" s="213"/>
      <c r="BG714" s="213"/>
      <c r="BH714" s="213"/>
      <c r="BI714" s="213"/>
      <c r="BJ714" s="213"/>
    </row>
    <row r="715" spans="19:62" customFormat="1" ht="15.6">
      <c r="S715" s="277"/>
      <c r="T715" s="277"/>
      <c r="U715" s="277"/>
      <c r="V715" s="277"/>
      <c r="W715" s="277"/>
      <c r="X715" s="277"/>
      <c r="Y715" s="277"/>
      <c r="Z715" s="277"/>
      <c r="AA715" s="277"/>
      <c r="AB715" s="277"/>
      <c r="AC715" s="277"/>
      <c r="AD715" s="277"/>
      <c r="AE715" s="277"/>
      <c r="AF715" s="277"/>
      <c r="AG715" s="277"/>
      <c r="AH715" s="277"/>
      <c r="AI715" s="277"/>
      <c r="AJ715" s="216"/>
      <c r="AK715" s="304"/>
      <c r="AL715" s="303"/>
      <c r="AM715" s="303"/>
      <c r="AN715" s="304"/>
      <c r="AO715" s="277"/>
      <c r="AP715" s="303"/>
      <c r="AQ715" s="303"/>
      <c r="AR715" s="304"/>
      <c r="AS715" s="303"/>
      <c r="AT715" s="303"/>
      <c r="AU715" s="303"/>
      <c r="AV715" s="303"/>
      <c r="AW715" s="213"/>
      <c r="AX715" s="213"/>
      <c r="AY715" s="213"/>
      <c r="AZ715" s="213"/>
      <c r="BA715" s="213"/>
      <c r="BB715" s="213"/>
      <c r="BC715" s="213"/>
      <c r="BD715" s="213"/>
      <c r="BE715" s="213"/>
      <c r="BF715" s="213"/>
      <c r="BG715" s="213"/>
      <c r="BH715" s="213"/>
      <c r="BI715" s="213"/>
      <c r="BJ715" s="213"/>
    </row>
    <row r="716" spans="19:62" customFormat="1" ht="15.6">
      <c r="S716" s="277"/>
      <c r="T716" s="277"/>
      <c r="U716" s="277"/>
      <c r="V716" s="277"/>
      <c r="W716" s="277"/>
      <c r="X716" s="277"/>
      <c r="Y716" s="277"/>
      <c r="Z716" s="277"/>
      <c r="AA716" s="277"/>
      <c r="AB716" s="277"/>
      <c r="AC716" s="277"/>
      <c r="AD716" s="277"/>
      <c r="AE716" s="277"/>
      <c r="AF716" s="277"/>
      <c r="AG716" s="277"/>
      <c r="AH716" s="277"/>
      <c r="AI716" s="277"/>
      <c r="AJ716" s="216"/>
      <c r="AK716" s="304"/>
      <c r="AL716" s="303"/>
      <c r="AM716" s="303"/>
      <c r="AN716" s="304"/>
      <c r="AO716" s="277"/>
      <c r="AP716" s="303"/>
      <c r="AQ716" s="303"/>
      <c r="AR716" s="304"/>
      <c r="AS716" s="303"/>
      <c r="AT716" s="303"/>
      <c r="AU716" s="303"/>
      <c r="AV716" s="303"/>
      <c r="AW716" s="213"/>
      <c r="AX716" s="213"/>
      <c r="AY716" s="213"/>
      <c r="AZ716" s="213"/>
      <c r="BA716" s="213"/>
      <c r="BB716" s="213"/>
      <c r="BC716" s="213"/>
      <c r="BD716" s="213"/>
      <c r="BE716" s="213"/>
      <c r="BF716" s="213"/>
      <c r="BG716" s="213"/>
      <c r="BH716" s="213"/>
      <c r="BI716" s="213"/>
      <c r="BJ716" s="213"/>
    </row>
    <row r="717" spans="19:62" customFormat="1" ht="15.6">
      <c r="S717" s="277"/>
      <c r="T717" s="277"/>
      <c r="U717" s="277"/>
      <c r="V717" s="277"/>
      <c r="W717" s="277"/>
      <c r="X717" s="277"/>
      <c r="Y717" s="277"/>
      <c r="Z717" s="277"/>
      <c r="AA717" s="277"/>
      <c r="AB717" s="277"/>
      <c r="AC717" s="277"/>
      <c r="AD717" s="277"/>
      <c r="AE717" s="277"/>
      <c r="AF717" s="277"/>
      <c r="AG717" s="277"/>
      <c r="AH717" s="277"/>
      <c r="AI717" s="277"/>
      <c r="AJ717" s="216"/>
      <c r="AK717" s="304"/>
      <c r="AL717" s="303"/>
      <c r="AM717" s="303"/>
      <c r="AN717" s="304"/>
      <c r="AO717" s="277"/>
      <c r="AP717" s="303"/>
      <c r="AQ717" s="303"/>
      <c r="AR717" s="304"/>
      <c r="AS717" s="303"/>
      <c r="AT717" s="303"/>
      <c r="AU717" s="303"/>
      <c r="AV717" s="303"/>
      <c r="AW717" s="213"/>
      <c r="AX717" s="213"/>
      <c r="AY717" s="213"/>
      <c r="AZ717" s="213"/>
      <c r="BA717" s="213"/>
      <c r="BB717" s="213"/>
      <c r="BC717" s="213"/>
      <c r="BD717" s="213"/>
      <c r="BE717" s="213"/>
      <c r="BF717" s="213"/>
      <c r="BG717" s="213"/>
      <c r="BH717" s="213"/>
      <c r="BI717" s="213"/>
      <c r="BJ717" s="213"/>
    </row>
    <row r="718" spans="19:62" customFormat="1" ht="15.6">
      <c r="S718" s="277"/>
      <c r="T718" s="277"/>
      <c r="U718" s="277"/>
      <c r="V718" s="277"/>
      <c r="W718" s="277"/>
      <c r="X718" s="277"/>
      <c r="Y718" s="277"/>
      <c r="Z718" s="277"/>
      <c r="AA718" s="277"/>
      <c r="AB718" s="277"/>
      <c r="AC718" s="277"/>
      <c r="AD718" s="277"/>
      <c r="AE718" s="277"/>
      <c r="AF718" s="277"/>
      <c r="AG718" s="277"/>
      <c r="AH718" s="277"/>
      <c r="AI718" s="277"/>
      <c r="AJ718" s="216"/>
      <c r="AK718" s="304"/>
      <c r="AL718" s="303"/>
      <c r="AM718" s="303"/>
      <c r="AN718" s="304"/>
      <c r="AO718" s="277"/>
      <c r="AP718" s="303"/>
      <c r="AQ718" s="303"/>
      <c r="AR718" s="304"/>
      <c r="AS718" s="303"/>
      <c r="AT718" s="303"/>
      <c r="AU718" s="303"/>
      <c r="AV718" s="303"/>
      <c r="AW718" s="213"/>
      <c r="AX718" s="213"/>
      <c r="AY718" s="213"/>
      <c r="AZ718" s="213"/>
      <c r="BA718" s="213"/>
      <c r="BB718" s="213"/>
      <c r="BC718" s="213"/>
      <c r="BD718" s="213"/>
      <c r="BE718" s="213"/>
      <c r="BF718" s="213"/>
      <c r="BG718" s="213"/>
      <c r="BH718" s="213"/>
      <c r="BI718" s="213"/>
      <c r="BJ718" s="213"/>
    </row>
    <row r="719" spans="19:62" customFormat="1" ht="15.6">
      <c r="S719" s="277"/>
      <c r="T719" s="277"/>
      <c r="U719" s="277"/>
      <c r="V719" s="277"/>
      <c r="W719" s="277"/>
      <c r="X719" s="277"/>
      <c r="Y719" s="277"/>
      <c r="Z719" s="277"/>
      <c r="AA719" s="277"/>
      <c r="AB719" s="277"/>
      <c r="AC719" s="277"/>
      <c r="AD719" s="277"/>
      <c r="AE719" s="277"/>
      <c r="AF719" s="277"/>
      <c r="AG719" s="277"/>
      <c r="AH719" s="277"/>
      <c r="AI719" s="277"/>
      <c r="AJ719" s="216"/>
      <c r="AK719" s="304"/>
      <c r="AL719" s="303"/>
      <c r="AM719" s="303"/>
      <c r="AN719" s="304"/>
      <c r="AO719" s="277"/>
      <c r="AP719" s="303"/>
      <c r="AQ719" s="303"/>
      <c r="AR719" s="304"/>
      <c r="AS719" s="303"/>
      <c r="AT719" s="303"/>
      <c r="AU719" s="303"/>
      <c r="AV719" s="303"/>
      <c r="AW719" s="213"/>
      <c r="AX719" s="213"/>
      <c r="AY719" s="213"/>
      <c r="AZ719" s="213"/>
      <c r="BA719" s="213"/>
      <c r="BB719" s="213"/>
      <c r="BC719" s="213"/>
      <c r="BD719" s="213"/>
      <c r="BE719" s="213"/>
      <c r="BF719" s="213"/>
      <c r="BG719" s="213"/>
      <c r="BH719" s="213"/>
      <c r="BI719" s="213"/>
      <c r="BJ719" s="213"/>
    </row>
    <row r="720" spans="19:62" customFormat="1" ht="15.6">
      <c r="S720" s="277"/>
      <c r="T720" s="277"/>
      <c r="U720" s="277"/>
      <c r="V720" s="277"/>
      <c r="W720" s="277"/>
      <c r="X720" s="277"/>
      <c r="Y720" s="277"/>
      <c r="Z720" s="277"/>
      <c r="AA720" s="277"/>
      <c r="AB720" s="277"/>
      <c r="AC720" s="277"/>
      <c r="AD720" s="277"/>
      <c r="AE720" s="277"/>
      <c r="AF720" s="277"/>
      <c r="AG720" s="277"/>
      <c r="AH720" s="277"/>
      <c r="AI720" s="277"/>
      <c r="AJ720" s="216"/>
      <c r="AK720" s="304"/>
      <c r="AL720" s="303"/>
      <c r="AM720" s="303"/>
      <c r="AN720" s="304"/>
      <c r="AO720" s="277"/>
      <c r="AP720" s="303"/>
      <c r="AQ720" s="303"/>
      <c r="AR720" s="304"/>
      <c r="AS720" s="303"/>
      <c r="AT720" s="303"/>
      <c r="AU720" s="303"/>
      <c r="AV720" s="303"/>
      <c r="AW720" s="213"/>
      <c r="AX720" s="213"/>
      <c r="AY720" s="213"/>
      <c r="AZ720" s="213"/>
      <c r="BA720" s="213"/>
      <c r="BB720" s="213"/>
      <c r="BC720" s="213"/>
      <c r="BD720" s="213"/>
      <c r="BE720" s="213"/>
      <c r="BF720" s="213"/>
      <c r="BG720" s="213"/>
      <c r="BH720" s="213"/>
      <c r="BI720" s="213"/>
      <c r="BJ720" s="213"/>
    </row>
    <row r="721" spans="19:62" customFormat="1" ht="15.6">
      <c r="S721" s="277"/>
      <c r="T721" s="277"/>
      <c r="U721" s="277"/>
      <c r="V721" s="277"/>
      <c r="W721" s="277"/>
      <c r="X721" s="277"/>
      <c r="Y721" s="277"/>
      <c r="Z721" s="277"/>
      <c r="AA721" s="277"/>
      <c r="AB721" s="277"/>
      <c r="AC721" s="277"/>
      <c r="AD721" s="277"/>
      <c r="AE721" s="277"/>
      <c r="AF721" s="277"/>
      <c r="AG721" s="277"/>
      <c r="AH721" s="277"/>
      <c r="AI721" s="277"/>
      <c r="AJ721" s="216"/>
      <c r="AK721" s="304"/>
      <c r="AL721" s="303"/>
      <c r="AM721" s="303"/>
      <c r="AN721" s="304"/>
      <c r="AO721" s="277"/>
      <c r="AP721" s="303"/>
      <c r="AQ721" s="303"/>
      <c r="AR721" s="304"/>
      <c r="AS721" s="303"/>
      <c r="AT721" s="303"/>
      <c r="AU721" s="303"/>
      <c r="AV721" s="303"/>
      <c r="AW721" s="213"/>
      <c r="AX721" s="213"/>
      <c r="AY721" s="213"/>
      <c r="AZ721" s="213"/>
      <c r="BA721" s="213"/>
      <c r="BB721" s="213"/>
      <c r="BC721" s="213"/>
      <c r="BD721" s="213"/>
      <c r="BE721" s="213"/>
      <c r="BF721" s="213"/>
      <c r="BG721" s="213"/>
      <c r="BH721" s="213"/>
      <c r="BI721" s="213"/>
      <c r="BJ721" s="213"/>
    </row>
    <row r="722" spans="19:62" customFormat="1" ht="15.6">
      <c r="S722" s="277"/>
      <c r="T722" s="277"/>
      <c r="U722" s="277"/>
      <c r="V722" s="277"/>
      <c r="W722" s="277"/>
      <c r="X722" s="277"/>
      <c r="Y722" s="277"/>
      <c r="Z722" s="277"/>
      <c r="AA722" s="277"/>
      <c r="AB722" s="277"/>
      <c r="AC722" s="277"/>
      <c r="AD722" s="277"/>
      <c r="AE722" s="277"/>
      <c r="AF722" s="277"/>
      <c r="AG722" s="277"/>
      <c r="AH722" s="277"/>
      <c r="AI722" s="277"/>
      <c r="AJ722" s="216"/>
      <c r="AK722" s="304"/>
      <c r="AL722" s="303"/>
      <c r="AM722" s="303"/>
      <c r="AN722" s="304"/>
      <c r="AO722" s="277"/>
      <c r="AP722" s="303"/>
      <c r="AQ722" s="303"/>
      <c r="AR722" s="304"/>
      <c r="AS722" s="303"/>
      <c r="AT722" s="303"/>
      <c r="AU722" s="303"/>
      <c r="AV722" s="303"/>
      <c r="AW722" s="213"/>
      <c r="AX722" s="213"/>
      <c r="AY722" s="213"/>
      <c r="AZ722" s="213"/>
      <c r="BA722" s="213"/>
      <c r="BB722" s="213"/>
      <c r="BC722" s="213"/>
      <c r="BD722" s="213"/>
      <c r="BE722" s="213"/>
      <c r="BF722" s="213"/>
      <c r="BG722" s="213"/>
      <c r="BH722" s="213"/>
      <c r="BI722" s="213"/>
      <c r="BJ722" s="213"/>
    </row>
    <row r="723" spans="19:62" customFormat="1" ht="15.6">
      <c r="S723" s="277"/>
      <c r="T723" s="277"/>
      <c r="U723" s="277"/>
      <c r="V723" s="277"/>
      <c r="W723" s="277"/>
      <c r="X723" s="277"/>
      <c r="Y723" s="277"/>
      <c r="Z723" s="277"/>
      <c r="AA723" s="277"/>
      <c r="AB723" s="277"/>
      <c r="AC723" s="277"/>
      <c r="AD723" s="277"/>
      <c r="AE723" s="277"/>
      <c r="AF723" s="277"/>
      <c r="AG723" s="277"/>
      <c r="AH723" s="277"/>
      <c r="AI723" s="277"/>
      <c r="AJ723" s="216"/>
      <c r="AK723" s="304"/>
      <c r="AL723" s="303"/>
      <c r="AM723" s="303"/>
      <c r="AN723" s="304"/>
      <c r="AO723" s="277"/>
      <c r="AP723" s="303"/>
      <c r="AQ723" s="303"/>
      <c r="AR723" s="304"/>
      <c r="AS723" s="303"/>
      <c r="AT723" s="303"/>
      <c r="AU723" s="303"/>
      <c r="AV723" s="303"/>
      <c r="AW723" s="213"/>
      <c r="AX723" s="213"/>
      <c r="AY723" s="213"/>
      <c r="AZ723" s="213"/>
      <c r="BA723" s="213"/>
      <c r="BB723" s="213"/>
      <c r="BC723" s="213"/>
      <c r="BD723" s="213"/>
      <c r="BE723" s="213"/>
      <c r="BF723" s="213"/>
      <c r="BG723" s="213"/>
      <c r="BH723" s="213"/>
      <c r="BI723" s="213"/>
      <c r="BJ723" s="213"/>
    </row>
    <row r="724" spans="19:62" customFormat="1" ht="15.6">
      <c r="S724" s="277"/>
      <c r="T724" s="277"/>
      <c r="U724" s="277"/>
      <c r="V724" s="277"/>
      <c r="W724" s="277"/>
      <c r="X724" s="277"/>
      <c r="Y724" s="277"/>
      <c r="Z724" s="277"/>
      <c r="AA724" s="277"/>
      <c r="AB724" s="277"/>
      <c r="AC724" s="277"/>
      <c r="AD724" s="277"/>
      <c r="AE724" s="277"/>
      <c r="AF724" s="277"/>
      <c r="AG724" s="277"/>
      <c r="AH724" s="277"/>
      <c r="AI724" s="277"/>
      <c r="AJ724" s="216"/>
      <c r="AK724" s="304"/>
      <c r="AL724" s="303"/>
      <c r="AM724" s="303"/>
      <c r="AN724" s="304"/>
      <c r="AO724" s="277"/>
      <c r="AP724" s="303"/>
      <c r="AQ724" s="303"/>
      <c r="AR724" s="304"/>
      <c r="AS724" s="303"/>
      <c r="AT724" s="303"/>
      <c r="AU724" s="303"/>
      <c r="AV724" s="303"/>
      <c r="AW724" s="213"/>
      <c r="AX724" s="213"/>
      <c r="AY724" s="213"/>
      <c r="AZ724" s="213"/>
      <c r="BA724" s="213"/>
      <c r="BB724" s="213"/>
      <c r="BC724" s="213"/>
      <c r="BD724" s="213"/>
      <c r="BE724" s="213"/>
      <c r="BF724" s="213"/>
      <c r="BG724" s="213"/>
      <c r="BH724" s="213"/>
      <c r="BI724" s="213"/>
      <c r="BJ724" s="213"/>
    </row>
    <row r="725" spans="19:62" customFormat="1" ht="15.6">
      <c r="S725" s="277"/>
      <c r="T725" s="277"/>
      <c r="U725" s="277"/>
      <c r="V725" s="277"/>
      <c r="W725" s="277"/>
      <c r="X725" s="277"/>
      <c r="Y725" s="277"/>
      <c r="Z725" s="277"/>
      <c r="AA725" s="277"/>
      <c r="AB725" s="277"/>
      <c r="AC725" s="277"/>
      <c r="AD725" s="277"/>
      <c r="AE725" s="277"/>
      <c r="AF725" s="277"/>
      <c r="AG725" s="277"/>
      <c r="AH725" s="277"/>
      <c r="AI725" s="277"/>
      <c r="AJ725" s="216"/>
      <c r="AK725" s="304"/>
      <c r="AL725" s="303"/>
      <c r="AM725" s="303"/>
      <c r="AN725" s="304"/>
      <c r="AO725" s="277"/>
      <c r="AP725" s="303"/>
      <c r="AQ725" s="303"/>
      <c r="AR725" s="304"/>
      <c r="AS725" s="303"/>
      <c r="AT725" s="303"/>
      <c r="AU725" s="303"/>
      <c r="AV725" s="303"/>
      <c r="AW725" s="213"/>
      <c r="AX725" s="213"/>
      <c r="AY725" s="213"/>
      <c r="AZ725" s="213"/>
      <c r="BA725" s="213"/>
      <c r="BB725" s="213"/>
      <c r="BC725" s="213"/>
      <c r="BD725" s="213"/>
      <c r="BE725" s="213"/>
      <c r="BF725" s="213"/>
      <c r="BG725" s="213"/>
      <c r="BH725" s="213"/>
      <c r="BI725" s="213"/>
      <c r="BJ725" s="213"/>
    </row>
    <row r="726" spans="19:62" customFormat="1" ht="15.6">
      <c r="S726" s="277"/>
      <c r="T726" s="277"/>
      <c r="U726" s="277"/>
      <c r="V726" s="277"/>
      <c r="W726" s="277"/>
      <c r="X726" s="277"/>
      <c r="Y726" s="277"/>
      <c r="Z726" s="277"/>
      <c r="AA726" s="277"/>
      <c r="AB726" s="277"/>
      <c r="AC726" s="277"/>
      <c r="AD726" s="277"/>
      <c r="AE726" s="277"/>
      <c r="AF726" s="277"/>
      <c r="AG726" s="277"/>
      <c r="AH726" s="277"/>
      <c r="AI726" s="277"/>
      <c r="AJ726" s="216"/>
      <c r="AK726" s="304"/>
      <c r="AL726" s="303"/>
      <c r="AM726" s="303"/>
      <c r="AN726" s="304"/>
      <c r="AO726" s="277"/>
      <c r="AP726" s="303"/>
      <c r="AQ726" s="303"/>
      <c r="AR726" s="304"/>
      <c r="AS726" s="303"/>
      <c r="AT726" s="303"/>
      <c r="AU726" s="303"/>
      <c r="AV726" s="303"/>
      <c r="AW726" s="213"/>
      <c r="AX726" s="213"/>
      <c r="AY726" s="213"/>
      <c r="AZ726" s="213"/>
      <c r="BA726" s="213"/>
      <c r="BB726" s="213"/>
      <c r="BC726" s="213"/>
      <c r="BD726" s="213"/>
      <c r="BE726" s="213"/>
      <c r="BF726" s="213"/>
      <c r="BG726" s="213"/>
      <c r="BH726" s="213"/>
      <c r="BI726" s="213"/>
      <c r="BJ726" s="213"/>
    </row>
    <row r="727" spans="19:62" customFormat="1" ht="15.6">
      <c r="S727" s="277"/>
      <c r="T727" s="277"/>
      <c r="U727" s="277"/>
      <c r="V727" s="277"/>
      <c r="W727" s="277"/>
      <c r="X727" s="277"/>
      <c r="Y727" s="277"/>
      <c r="Z727" s="277"/>
      <c r="AA727" s="277"/>
      <c r="AB727" s="277"/>
      <c r="AC727" s="277"/>
      <c r="AD727" s="277"/>
      <c r="AE727" s="277"/>
      <c r="AF727" s="277"/>
      <c r="AG727" s="277"/>
      <c r="AH727" s="277"/>
      <c r="AI727" s="277"/>
      <c r="AJ727" s="216"/>
      <c r="AK727" s="304"/>
      <c r="AL727" s="303"/>
      <c r="AM727" s="303"/>
      <c r="AN727" s="304"/>
      <c r="AO727" s="277"/>
      <c r="AP727" s="303"/>
      <c r="AQ727" s="303"/>
      <c r="AR727" s="304"/>
      <c r="AS727" s="303"/>
      <c r="AT727" s="303"/>
      <c r="AU727" s="303"/>
      <c r="AV727" s="303"/>
      <c r="AW727" s="213"/>
      <c r="AX727" s="213"/>
      <c r="AY727" s="213"/>
      <c r="AZ727" s="213"/>
      <c r="BA727" s="213"/>
      <c r="BB727" s="213"/>
      <c r="BC727" s="213"/>
      <c r="BD727" s="213"/>
      <c r="BE727" s="213"/>
      <c r="BF727" s="213"/>
      <c r="BG727" s="213"/>
      <c r="BH727" s="213"/>
      <c r="BI727" s="213"/>
      <c r="BJ727" s="213"/>
    </row>
    <row r="728" spans="19:62" customFormat="1" ht="15.6">
      <c r="S728" s="277"/>
      <c r="T728" s="277"/>
      <c r="U728" s="277"/>
      <c r="V728" s="277"/>
      <c r="W728" s="277"/>
      <c r="X728" s="277"/>
      <c r="Y728" s="277"/>
      <c r="Z728" s="277"/>
      <c r="AA728" s="277"/>
      <c r="AB728" s="277"/>
      <c r="AC728" s="277"/>
      <c r="AD728" s="277"/>
      <c r="AE728" s="277"/>
      <c r="AF728" s="277"/>
      <c r="AG728" s="277"/>
      <c r="AH728" s="277"/>
      <c r="AI728" s="277"/>
      <c r="AJ728" s="216"/>
      <c r="AK728" s="304"/>
      <c r="AL728" s="303"/>
      <c r="AM728" s="303"/>
      <c r="AN728" s="304"/>
      <c r="AO728" s="277"/>
      <c r="AP728" s="303"/>
      <c r="AQ728" s="303"/>
      <c r="AR728" s="304"/>
      <c r="AS728" s="303"/>
      <c r="AT728" s="303"/>
      <c r="AU728" s="303"/>
      <c r="AV728" s="303"/>
      <c r="AW728" s="213"/>
      <c r="AX728" s="213"/>
      <c r="AY728" s="213"/>
      <c r="AZ728" s="213"/>
      <c r="BA728" s="213"/>
      <c r="BB728" s="213"/>
      <c r="BC728" s="213"/>
      <c r="BD728" s="213"/>
      <c r="BE728" s="213"/>
      <c r="BF728" s="213"/>
      <c r="BG728" s="213"/>
      <c r="BH728" s="213"/>
      <c r="BI728" s="213"/>
      <c r="BJ728" s="213"/>
    </row>
    <row r="729" spans="19:62" customFormat="1" ht="15.6">
      <c r="S729" s="277"/>
      <c r="T729" s="277"/>
      <c r="U729" s="277"/>
      <c r="V729" s="277"/>
      <c r="W729" s="277"/>
      <c r="X729" s="277"/>
      <c r="Y729" s="277"/>
      <c r="Z729" s="277"/>
      <c r="AA729" s="277"/>
      <c r="AB729" s="277"/>
      <c r="AC729" s="277"/>
      <c r="AD729" s="277"/>
      <c r="AE729" s="277"/>
      <c r="AF729" s="277"/>
      <c r="AG729" s="277"/>
      <c r="AH729" s="277"/>
      <c r="AI729" s="277"/>
      <c r="AJ729" s="216"/>
      <c r="AK729" s="304"/>
      <c r="AL729" s="303"/>
      <c r="AM729" s="303"/>
      <c r="AN729" s="304"/>
      <c r="AO729" s="277"/>
      <c r="AP729" s="303"/>
      <c r="AQ729" s="303"/>
      <c r="AR729" s="304"/>
      <c r="AS729" s="303"/>
      <c r="AT729" s="303"/>
      <c r="AU729" s="303"/>
      <c r="AV729" s="303"/>
      <c r="AW729" s="213"/>
      <c r="AX729" s="213"/>
      <c r="AY729" s="213"/>
      <c r="AZ729" s="213"/>
      <c r="BA729" s="213"/>
      <c r="BB729" s="213"/>
      <c r="BC729" s="213"/>
      <c r="BD729" s="213"/>
      <c r="BE729" s="213"/>
      <c r="BF729" s="213"/>
      <c r="BG729" s="213"/>
      <c r="BH729" s="213"/>
      <c r="BI729" s="213"/>
      <c r="BJ729" s="213"/>
    </row>
    <row r="730" spans="19:62" customFormat="1" ht="15.6">
      <c r="S730" s="277"/>
      <c r="T730" s="277"/>
      <c r="U730" s="277"/>
      <c r="V730" s="277"/>
      <c r="W730" s="277"/>
      <c r="X730" s="277"/>
      <c r="Y730" s="277"/>
      <c r="Z730" s="277"/>
      <c r="AA730" s="277"/>
      <c r="AB730" s="277"/>
      <c r="AC730" s="277"/>
      <c r="AD730" s="277"/>
      <c r="AE730" s="277"/>
      <c r="AF730" s="277"/>
      <c r="AG730" s="277"/>
      <c r="AH730" s="277"/>
      <c r="AI730" s="277"/>
      <c r="AJ730" s="216"/>
      <c r="AK730" s="304"/>
      <c r="AL730" s="303"/>
      <c r="AM730" s="303"/>
      <c r="AN730" s="304"/>
      <c r="AO730" s="277"/>
      <c r="AP730" s="303"/>
      <c r="AQ730" s="303"/>
      <c r="AR730" s="304"/>
      <c r="AS730" s="303"/>
      <c r="AT730" s="303"/>
      <c r="AU730" s="303"/>
      <c r="AV730" s="303"/>
      <c r="AW730" s="213"/>
      <c r="AX730" s="213"/>
      <c r="AY730" s="213"/>
      <c r="AZ730" s="213"/>
      <c r="BA730" s="213"/>
      <c r="BB730" s="213"/>
      <c r="BC730" s="213"/>
      <c r="BD730" s="213"/>
      <c r="BE730" s="213"/>
      <c r="BF730" s="213"/>
      <c r="BG730" s="213"/>
      <c r="BH730" s="213"/>
      <c r="BI730" s="213"/>
      <c r="BJ730" s="213"/>
    </row>
    <row r="731" spans="19:62" customFormat="1" ht="15.6">
      <c r="S731" s="277"/>
      <c r="T731" s="277"/>
      <c r="U731" s="277"/>
      <c r="V731" s="277"/>
      <c r="W731" s="277"/>
      <c r="X731" s="277"/>
      <c r="Y731" s="277"/>
      <c r="Z731" s="277"/>
      <c r="AA731" s="277"/>
      <c r="AB731" s="277"/>
      <c r="AC731" s="277"/>
      <c r="AD731" s="277"/>
      <c r="AE731" s="277"/>
      <c r="AF731" s="277"/>
      <c r="AG731" s="277"/>
      <c r="AH731" s="277"/>
      <c r="AI731" s="277"/>
      <c r="AJ731" s="216"/>
      <c r="AK731" s="304"/>
      <c r="AL731" s="303"/>
      <c r="AM731" s="303"/>
      <c r="AN731" s="304"/>
      <c r="AO731" s="277"/>
      <c r="AP731" s="303"/>
      <c r="AQ731" s="303"/>
      <c r="AR731" s="304"/>
      <c r="AS731" s="303"/>
      <c r="AT731" s="303"/>
      <c r="AU731" s="303"/>
      <c r="AV731" s="303"/>
      <c r="AW731" s="213"/>
      <c r="AX731" s="213"/>
      <c r="AY731" s="213"/>
      <c r="AZ731" s="213"/>
      <c r="BA731" s="213"/>
      <c r="BB731" s="213"/>
      <c r="BC731" s="213"/>
      <c r="BD731" s="213"/>
      <c r="BE731" s="213"/>
      <c r="BF731" s="213"/>
      <c r="BG731" s="213"/>
      <c r="BH731" s="213"/>
      <c r="BI731" s="213"/>
      <c r="BJ731" s="213"/>
    </row>
    <row r="732" spans="19:62" customFormat="1" ht="15.6">
      <c r="S732" s="277"/>
      <c r="T732" s="277"/>
      <c r="U732" s="277"/>
      <c r="V732" s="277"/>
      <c r="W732" s="277"/>
      <c r="X732" s="277"/>
      <c r="Y732" s="277"/>
      <c r="Z732" s="277"/>
      <c r="AA732" s="277"/>
      <c r="AB732" s="277"/>
      <c r="AC732" s="277"/>
      <c r="AD732" s="277"/>
      <c r="AE732" s="277"/>
      <c r="AF732" s="277"/>
      <c r="AG732" s="277"/>
      <c r="AH732" s="277"/>
      <c r="AI732" s="277"/>
      <c r="AJ732" s="216"/>
      <c r="AK732" s="304"/>
      <c r="AL732" s="303"/>
      <c r="AM732" s="303"/>
      <c r="AN732" s="304"/>
      <c r="AO732" s="277"/>
      <c r="AP732" s="303"/>
      <c r="AQ732" s="303"/>
      <c r="AR732" s="304"/>
      <c r="AS732" s="303"/>
      <c r="AT732" s="303"/>
      <c r="AU732" s="303"/>
      <c r="AV732" s="303"/>
      <c r="AW732" s="213"/>
      <c r="AX732" s="213"/>
      <c r="AY732" s="213"/>
      <c r="AZ732" s="213"/>
      <c r="BA732" s="213"/>
      <c r="BB732" s="213"/>
      <c r="BC732" s="213"/>
      <c r="BD732" s="213"/>
      <c r="BE732" s="213"/>
      <c r="BF732" s="213"/>
      <c r="BG732" s="213"/>
      <c r="BH732" s="213"/>
      <c r="BI732" s="213"/>
      <c r="BJ732" s="213"/>
    </row>
    <row r="733" spans="19:62" customFormat="1" ht="15.6">
      <c r="S733" s="277"/>
      <c r="T733" s="277"/>
      <c r="U733" s="277"/>
      <c r="V733" s="277"/>
      <c r="W733" s="277"/>
      <c r="X733" s="277"/>
      <c r="Y733" s="277"/>
      <c r="Z733" s="277"/>
      <c r="AA733" s="277"/>
      <c r="AB733" s="277"/>
      <c r="AC733" s="277"/>
      <c r="AD733" s="277"/>
      <c r="AE733" s="277"/>
      <c r="AF733" s="277"/>
      <c r="AG733" s="277"/>
      <c r="AH733" s="277"/>
      <c r="AI733" s="277"/>
      <c r="AJ733" s="216"/>
      <c r="AK733" s="304"/>
      <c r="AL733" s="303"/>
      <c r="AM733" s="303"/>
      <c r="AN733" s="304"/>
      <c r="AO733" s="277"/>
      <c r="AP733" s="303"/>
      <c r="AQ733" s="303"/>
      <c r="AR733" s="304"/>
      <c r="AS733" s="303"/>
      <c r="AT733" s="303"/>
      <c r="AU733" s="303"/>
      <c r="AV733" s="303"/>
      <c r="AW733" s="213"/>
      <c r="AX733" s="213"/>
      <c r="AY733" s="213"/>
      <c r="AZ733" s="213"/>
      <c r="BA733" s="213"/>
      <c r="BB733" s="213"/>
      <c r="BC733" s="213"/>
      <c r="BD733" s="213"/>
      <c r="BE733" s="213"/>
      <c r="BF733" s="213"/>
      <c r="BG733" s="213"/>
      <c r="BH733" s="213"/>
      <c r="BI733" s="213"/>
      <c r="BJ733" s="213"/>
    </row>
    <row r="734" spans="19:62" customFormat="1" ht="15.6">
      <c r="S734" s="277"/>
      <c r="T734" s="277"/>
      <c r="U734" s="277"/>
      <c r="V734" s="277"/>
      <c r="W734" s="277"/>
      <c r="X734" s="277"/>
      <c r="Y734" s="277"/>
      <c r="Z734" s="277"/>
      <c r="AA734" s="277"/>
      <c r="AB734" s="277"/>
      <c r="AC734" s="277"/>
      <c r="AD734" s="277"/>
      <c r="AE734" s="277"/>
      <c r="AF734" s="277"/>
      <c r="AG734" s="277"/>
      <c r="AH734" s="277"/>
      <c r="AI734" s="277"/>
      <c r="AJ734" s="216"/>
      <c r="AK734" s="304"/>
      <c r="AL734" s="303"/>
      <c r="AM734" s="303"/>
      <c r="AN734" s="304"/>
      <c r="AO734" s="277"/>
      <c r="AP734" s="303"/>
      <c r="AQ734" s="303"/>
      <c r="AR734" s="304"/>
      <c r="AS734" s="303"/>
      <c r="AT734" s="303"/>
      <c r="AU734" s="303"/>
      <c r="AV734" s="303"/>
      <c r="AW734" s="213"/>
      <c r="AX734" s="213"/>
      <c r="AY734" s="213"/>
      <c r="AZ734" s="213"/>
      <c r="BA734" s="213"/>
      <c r="BB734" s="213"/>
      <c r="BC734" s="213"/>
      <c r="BD734" s="213"/>
      <c r="BE734" s="213"/>
      <c r="BF734" s="213"/>
      <c r="BG734" s="213"/>
      <c r="BH734" s="213"/>
      <c r="BI734" s="213"/>
      <c r="BJ734" s="213"/>
    </row>
    <row r="735" spans="19:62" customFormat="1" ht="15.6">
      <c r="S735" s="277"/>
      <c r="T735" s="277"/>
      <c r="U735" s="277"/>
      <c r="V735" s="277"/>
      <c r="W735" s="277"/>
      <c r="X735" s="277"/>
      <c r="Y735" s="277"/>
      <c r="Z735" s="277"/>
      <c r="AA735" s="277"/>
      <c r="AB735" s="277"/>
      <c r="AC735" s="277"/>
      <c r="AD735" s="277"/>
      <c r="AE735" s="277"/>
      <c r="AF735" s="277"/>
      <c r="AG735" s="277"/>
      <c r="AH735" s="277"/>
      <c r="AI735" s="277"/>
      <c r="AJ735" s="216"/>
      <c r="AK735" s="304"/>
      <c r="AL735" s="303"/>
      <c r="AM735" s="303"/>
      <c r="AN735" s="304"/>
      <c r="AO735" s="277"/>
      <c r="AP735" s="303"/>
      <c r="AQ735" s="303"/>
      <c r="AR735" s="304"/>
      <c r="AS735" s="303"/>
      <c r="AT735" s="303"/>
      <c r="AU735" s="303"/>
      <c r="AV735" s="303"/>
      <c r="AW735" s="213"/>
      <c r="AX735" s="213"/>
      <c r="AY735" s="213"/>
      <c r="AZ735" s="213"/>
      <c r="BA735" s="213"/>
      <c r="BB735" s="213"/>
      <c r="BC735" s="213"/>
      <c r="BD735" s="213"/>
      <c r="BE735" s="213"/>
      <c r="BF735" s="213"/>
      <c r="BG735" s="213"/>
      <c r="BH735" s="213"/>
      <c r="BI735" s="213"/>
      <c r="BJ735" s="213"/>
    </row>
    <row r="736" spans="19:62" customFormat="1" ht="15.6">
      <c r="S736" s="277"/>
      <c r="T736" s="277"/>
      <c r="U736" s="277"/>
      <c r="V736" s="277"/>
      <c r="W736" s="277"/>
      <c r="X736" s="277"/>
      <c r="Y736" s="277"/>
      <c r="Z736" s="277"/>
      <c r="AA736" s="277"/>
      <c r="AB736" s="277"/>
      <c r="AC736" s="277"/>
      <c r="AD736" s="277"/>
      <c r="AE736" s="277"/>
      <c r="AF736" s="277"/>
      <c r="AG736" s="277"/>
      <c r="AH736" s="277"/>
      <c r="AI736" s="277"/>
      <c r="AJ736" s="216"/>
      <c r="AK736" s="304"/>
      <c r="AL736" s="303"/>
      <c r="AM736" s="303"/>
      <c r="AN736" s="304"/>
      <c r="AO736" s="277"/>
      <c r="AP736" s="303"/>
      <c r="AQ736" s="303"/>
      <c r="AR736" s="304"/>
      <c r="AS736" s="303"/>
      <c r="AT736" s="303"/>
      <c r="AU736" s="303"/>
      <c r="AV736" s="303"/>
      <c r="AW736" s="213"/>
      <c r="AX736" s="213"/>
      <c r="AY736" s="213"/>
      <c r="AZ736" s="213"/>
      <c r="BA736" s="213"/>
      <c r="BB736" s="213"/>
      <c r="BC736" s="213"/>
      <c r="BD736" s="213"/>
      <c r="BE736" s="213"/>
      <c r="BF736" s="213"/>
      <c r="BG736" s="213"/>
      <c r="BH736" s="213"/>
      <c r="BI736" s="213"/>
      <c r="BJ736" s="213"/>
    </row>
    <row r="737" spans="19:62" customFormat="1" ht="15.6">
      <c r="S737" s="277"/>
      <c r="T737" s="277"/>
      <c r="U737" s="277"/>
      <c r="V737" s="277"/>
      <c r="W737" s="277"/>
      <c r="X737" s="277"/>
      <c r="Y737" s="277"/>
      <c r="Z737" s="277"/>
      <c r="AA737" s="277"/>
      <c r="AB737" s="277"/>
      <c r="AC737" s="277"/>
      <c r="AD737" s="277"/>
      <c r="AE737" s="277"/>
      <c r="AF737" s="277"/>
      <c r="AG737" s="277"/>
      <c r="AH737" s="277"/>
      <c r="AI737" s="277"/>
      <c r="AJ737" s="216"/>
      <c r="AK737" s="304"/>
      <c r="AL737" s="303"/>
      <c r="AM737" s="303"/>
      <c r="AN737" s="304"/>
      <c r="AO737" s="277"/>
      <c r="AP737" s="303"/>
      <c r="AQ737" s="303"/>
      <c r="AR737" s="304"/>
      <c r="AS737" s="303"/>
      <c r="AT737" s="303"/>
      <c r="AU737" s="303"/>
      <c r="AV737" s="303"/>
      <c r="AW737" s="213"/>
      <c r="AX737" s="213"/>
      <c r="AY737" s="213"/>
      <c r="AZ737" s="213"/>
      <c r="BA737" s="213"/>
      <c r="BB737" s="213"/>
      <c r="BC737" s="213"/>
      <c r="BD737" s="213"/>
      <c r="BE737" s="213"/>
      <c r="BF737" s="213"/>
      <c r="BG737" s="213"/>
      <c r="BH737" s="213"/>
      <c r="BI737" s="213"/>
      <c r="BJ737" s="213"/>
    </row>
    <row r="738" spans="19:62" customFormat="1" ht="15.6">
      <c r="S738" s="277"/>
      <c r="T738" s="277"/>
      <c r="U738" s="277"/>
      <c r="V738" s="277"/>
      <c r="W738" s="277"/>
      <c r="X738" s="277"/>
      <c r="Y738" s="277"/>
      <c r="Z738" s="277"/>
      <c r="AA738" s="277"/>
      <c r="AB738" s="277"/>
      <c r="AC738" s="277"/>
      <c r="AD738" s="277"/>
      <c r="AE738" s="277"/>
      <c r="AF738" s="277"/>
      <c r="AG738" s="277"/>
      <c r="AH738" s="277"/>
      <c r="AI738" s="277"/>
      <c r="AJ738" s="216"/>
      <c r="AK738" s="304"/>
      <c r="AL738" s="303"/>
      <c r="AM738" s="303"/>
      <c r="AN738" s="304"/>
      <c r="AO738" s="277"/>
      <c r="AP738" s="303"/>
      <c r="AQ738" s="303"/>
      <c r="AR738" s="304"/>
      <c r="AS738" s="303"/>
      <c r="AT738" s="303"/>
      <c r="AU738" s="303"/>
      <c r="AV738" s="303"/>
      <c r="AW738" s="213"/>
      <c r="AX738" s="213"/>
      <c r="AY738" s="213"/>
      <c r="AZ738" s="213"/>
      <c r="BA738" s="213"/>
      <c r="BB738" s="213"/>
      <c r="BC738" s="213"/>
      <c r="BD738" s="213"/>
      <c r="BE738" s="213"/>
      <c r="BF738" s="213"/>
      <c r="BG738" s="213"/>
      <c r="BH738" s="213"/>
      <c r="BI738" s="213"/>
      <c r="BJ738" s="213"/>
    </row>
    <row r="739" spans="19:62" customFormat="1" ht="15.6">
      <c r="S739" s="277"/>
      <c r="T739" s="277"/>
      <c r="U739" s="277"/>
      <c r="V739" s="277"/>
      <c r="W739" s="277"/>
      <c r="X739" s="277"/>
      <c r="Y739" s="277"/>
      <c r="Z739" s="277"/>
      <c r="AA739" s="277"/>
      <c r="AB739" s="277"/>
      <c r="AC739" s="277"/>
      <c r="AD739" s="277"/>
      <c r="AE739" s="277"/>
      <c r="AF739" s="277"/>
      <c r="AG739" s="277"/>
      <c r="AH739" s="277"/>
      <c r="AI739" s="277"/>
      <c r="AJ739" s="216"/>
      <c r="AK739" s="304"/>
      <c r="AL739" s="303"/>
      <c r="AM739" s="303"/>
      <c r="AN739" s="304"/>
      <c r="AO739" s="277"/>
      <c r="AP739" s="303"/>
      <c r="AQ739" s="303"/>
      <c r="AR739" s="304"/>
      <c r="AS739" s="303"/>
      <c r="AT739" s="303"/>
      <c r="AU739" s="303"/>
      <c r="AV739" s="303"/>
      <c r="AW739" s="213"/>
      <c r="AX739" s="213"/>
      <c r="AY739" s="213"/>
      <c r="AZ739" s="213"/>
      <c r="BA739" s="213"/>
      <c r="BB739" s="213"/>
      <c r="BC739" s="213"/>
      <c r="BD739" s="213"/>
      <c r="BE739" s="213"/>
      <c r="BF739" s="213"/>
      <c r="BG739" s="213"/>
      <c r="BH739" s="213"/>
      <c r="BI739" s="213"/>
      <c r="BJ739" s="213"/>
    </row>
    <row r="740" spans="19:62" customFormat="1" ht="15.6">
      <c r="S740" s="277"/>
      <c r="T740" s="277"/>
      <c r="U740" s="277"/>
      <c r="V740" s="277"/>
      <c r="W740" s="277"/>
      <c r="X740" s="277"/>
      <c r="Y740" s="277"/>
      <c r="Z740" s="277"/>
      <c r="AA740" s="277"/>
      <c r="AB740" s="277"/>
      <c r="AC740" s="277"/>
      <c r="AD740" s="277"/>
      <c r="AE740" s="277"/>
      <c r="AF740" s="277"/>
      <c r="AG740" s="277"/>
      <c r="AH740" s="277"/>
      <c r="AI740" s="277"/>
      <c r="AJ740" s="216"/>
      <c r="AK740" s="304"/>
      <c r="AL740" s="303"/>
      <c r="AM740" s="303"/>
      <c r="AN740" s="304"/>
      <c r="AO740" s="277"/>
      <c r="AP740" s="303"/>
      <c r="AQ740" s="303"/>
      <c r="AR740" s="304"/>
      <c r="AS740" s="303"/>
      <c r="AT740" s="303"/>
      <c r="AU740" s="303"/>
      <c r="AV740" s="303"/>
      <c r="AW740" s="213"/>
      <c r="AX740" s="213"/>
      <c r="AY740" s="213"/>
      <c r="AZ740" s="213"/>
      <c r="BA740" s="213"/>
      <c r="BB740" s="213"/>
      <c r="BC740" s="213"/>
      <c r="BD740" s="213"/>
      <c r="BE740" s="213"/>
      <c r="BF740" s="213"/>
      <c r="BG740" s="213"/>
      <c r="BH740" s="213"/>
      <c r="BI740" s="213"/>
      <c r="BJ740" s="213"/>
    </row>
    <row r="741" spans="19:62" customFormat="1" ht="15.6">
      <c r="S741" s="277"/>
      <c r="T741" s="277"/>
      <c r="U741" s="277"/>
      <c r="V741" s="277"/>
      <c r="W741" s="277"/>
      <c r="X741" s="277"/>
      <c r="Y741" s="277"/>
      <c r="Z741" s="277"/>
      <c r="AA741" s="277"/>
      <c r="AB741" s="277"/>
      <c r="AC741" s="277"/>
      <c r="AD741" s="277"/>
      <c r="AE741" s="277"/>
      <c r="AF741" s="277"/>
      <c r="AG741" s="277"/>
      <c r="AH741" s="277"/>
      <c r="AI741" s="277"/>
      <c r="AJ741" s="216"/>
      <c r="AK741" s="304"/>
      <c r="AL741" s="303"/>
      <c r="AM741" s="303"/>
      <c r="AN741" s="312"/>
      <c r="AO741" s="277"/>
      <c r="AP741" s="303"/>
      <c r="AQ741" s="303"/>
      <c r="AR741" s="304"/>
      <c r="AS741" s="303"/>
      <c r="AT741" s="303"/>
      <c r="AU741" s="303"/>
      <c r="AV741" s="303"/>
      <c r="AW741" s="213"/>
      <c r="AX741" s="213"/>
      <c r="AY741" s="213"/>
      <c r="AZ741" s="213"/>
      <c r="BA741" s="213"/>
      <c r="BB741" s="213"/>
      <c r="BC741" s="213"/>
      <c r="BD741" s="213"/>
      <c r="BE741" s="213"/>
      <c r="BF741" s="213"/>
      <c r="BG741" s="213"/>
      <c r="BH741" s="213"/>
      <c r="BI741" s="213"/>
      <c r="BJ741" s="213"/>
    </row>
    <row r="742" spans="19:62" customFormat="1" ht="15.6">
      <c r="S742" s="277"/>
      <c r="T742" s="277"/>
      <c r="U742" s="277"/>
      <c r="V742" s="277"/>
      <c r="W742" s="277"/>
      <c r="X742" s="277"/>
      <c r="Y742" s="277"/>
      <c r="Z742" s="277"/>
      <c r="AA742" s="277"/>
      <c r="AB742" s="277"/>
      <c r="AC742" s="277"/>
      <c r="AD742" s="277"/>
      <c r="AE742" s="277"/>
      <c r="AF742" s="277"/>
      <c r="AG742" s="277"/>
      <c r="AH742" s="277"/>
      <c r="AI742" s="277"/>
      <c r="AJ742" s="216"/>
      <c r="AK742" s="304"/>
      <c r="AL742" s="303"/>
      <c r="AM742" s="303"/>
      <c r="AN742" s="304"/>
      <c r="AO742" s="277"/>
      <c r="AP742" s="303"/>
      <c r="AQ742" s="303"/>
      <c r="AR742" s="304"/>
      <c r="AS742" s="303"/>
      <c r="AT742" s="303"/>
      <c r="AU742" s="303"/>
      <c r="AV742" s="303"/>
      <c r="AW742" s="213"/>
      <c r="AX742" s="213"/>
      <c r="AY742" s="213"/>
      <c r="AZ742" s="213"/>
      <c r="BA742" s="213"/>
      <c r="BB742" s="213"/>
      <c r="BC742" s="213"/>
      <c r="BD742" s="213"/>
      <c r="BE742" s="213"/>
      <c r="BF742" s="213"/>
      <c r="BG742" s="213"/>
      <c r="BH742" s="213"/>
      <c r="BI742" s="213"/>
      <c r="BJ742" s="213"/>
    </row>
    <row r="743" spans="19:62" customFormat="1" ht="15.6">
      <c r="S743" s="277"/>
      <c r="T743" s="277"/>
      <c r="U743" s="277"/>
      <c r="V743" s="277"/>
      <c r="W743" s="277"/>
      <c r="X743" s="277"/>
      <c r="Y743" s="277"/>
      <c r="Z743" s="277"/>
      <c r="AA743" s="277"/>
      <c r="AB743" s="277"/>
      <c r="AC743" s="277"/>
      <c r="AD743" s="277"/>
      <c r="AE743" s="277"/>
      <c r="AF743" s="277"/>
      <c r="AG743" s="277"/>
      <c r="AH743" s="277"/>
      <c r="AI743" s="277"/>
      <c r="AJ743" s="216"/>
      <c r="AK743" s="304"/>
      <c r="AL743" s="303"/>
      <c r="AM743" s="303"/>
      <c r="AN743" s="304"/>
      <c r="AO743" s="277"/>
      <c r="AP743" s="303"/>
      <c r="AQ743" s="303"/>
      <c r="AR743" s="304"/>
      <c r="AS743" s="303"/>
      <c r="AT743" s="303"/>
      <c r="AU743" s="303"/>
      <c r="AV743" s="303"/>
      <c r="AW743" s="213"/>
      <c r="AX743" s="213"/>
      <c r="AY743" s="213"/>
      <c r="AZ743" s="213"/>
      <c r="BA743" s="213"/>
      <c r="BB743" s="213"/>
      <c r="BC743" s="213"/>
      <c r="BD743" s="213"/>
      <c r="BE743" s="213"/>
      <c r="BF743" s="213"/>
      <c r="BG743" s="213"/>
      <c r="BH743" s="213"/>
      <c r="BI743" s="213"/>
      <c r="BJ743" s="213"/>
    </row>
    <row r="744" spans="19:62" customFormat="1" ht="15.6">
      <c r="S744" s="277"/>
      <c r="T744" s="277"/>
      <c r="U744" s="277"/>
      <c r="V744" s="277"/>
      <c r="W744" s="277"/>
      <c r="X744" s="277"/>
      <c r="Y744" s="277"/>
      <c r="Z744" s="277"/>
      <c r="AA744" s="277"/>
      <c r="AB744" s="277"/>
      <c r="AC744" s="277"/>
      <c r="AD744" s="277"/>
      <c r="AE744" s="277"/>
      <c r="AF744" s="277"/>
      <c r="AG744" s="277"/>
      <c r="AH744" s="277"/>
      <c r="AI744" s="277"/>
      <c r="AJ744" s="216"/>
      <c r="AK744" s="304"/>
      <c r="AL744" s="303"/>
      <c r="AM744" s="216"/>
      <c r="AN744" s="304"/>
      <c r="AO744" s="277"/>
      <c r="AP744" s="303"/>
      <c r="AQ744" s="303"/>
      <c r="AR744" s="304"/>
      <c r="AS744" s="303"/>
      <c r="AT744" s="303"/>
      <c r="AU744" s="303"/>
      <c r="AV744" s="303"/>
      <c r="AW744" s="213"/>
      <c r="AX744" s="213"/>
      <c r="AY744" s="213"/>
      <c r="AZ744" s="213"/>
      <c r="BA744" s="213"/>
      <c r="BB744" s="213"/>
      <c r="BC744" s="213"/>
      <c r="BD744" s="213"/>
      <c r="BE744" s="213"/>
      <c r="BF744" s="213"/>
      <c r="BG744" s="213"/>
      <c r="BH744" s="213"/>
      <c r="BI744" s="213"/>
      <c r="BJ744" s="213"/>
    </row>
    <row r="745" spans="19:62" customFormat="1" ht="15.6">
      <c r="S745" s="277"/>
      <c r="T745" s="277"/>
      <c r="U745" s="277"/>
      <c r="V745" s="277"/>
      <c r="W745" s="277"/>
      <c r="X745" s="277"/>
      <c r="Y745" s="277"/>
      <c r="Z745" s="277"/>
      <c r="AA745" s="277"/>
      <c r="AB745" s="277"/>
      <c r="AC745" s="277"/>
      <c r="AD745" s="277"/>
      <c r="AE745" s="277"/>
      <c r="AF745" s="277"/>
      <c r="AG745" s="277"/>
      <c r="AH745" s="277"/>
      <c r="AI745" s="277"/>
      <c r="AJ745" s="216"/>
      <c r="AK745" s="304"/>
      <c r="AL745" s="303"/>
      <c r="AM745" s="303"/>
      <c r="AN745" s="304"/>
      <c r="AO745" s="277"/>
      <c r="AP745" s="303"/>
      <c r="AQ745" s="303"/>
      <c r="AR745" s="304"/>
      <c r="AS745" s="303"/>
      <c r="AT745" s="303"/>
      <c r="AU745" s="303"/>
      <c r="AV745" s="303"/>
      <c r="AW745" s="213"/>
      <c r="AX745" s="213"/>
      <c r="AY745" s="213"/>
      <c r="AZ745" s="213"/>
      <c r="BA745" s="213"/>
      <c r="BB745" s="213"/>
      <c r="BC745" s="213"/>
      <c r="BD745" s="213"/>
      <c r="BE745" s="213"/>
      <c r="BF745" s="213"/>
      <c r="BG745" s="213"/>
      <c r="BH745" s="213"/>
      <c r="BI745" s="213"/>
      <c r="BJ745" s="213"/>
    </row>
    <row r="746" spans="19:62" customFormat="1" ht="15.6">
      <c r="S746" s="277"/>
      <c r="T746" s="277"/>
      <c r="U746" s="277"/>
      <c r="V746" s="277"/>
      <c r="W746" s="277"/>
      <c r="X746" s="277"/>
      <c r="Y746" s="277"/>
      <c r="Z746" s="277"/>
      <c r="AA746" s="277"/>
      <c r="AB746" s="277"/>
      <c r="AC746" s="277"/>
      <c r="AD746" s="277"/>
      <c r="AE746" s="277"/>
      <c r="AF746" s="277"/>
      <c r="AG746" s="277"/>
      <c r="AH746" s="277"/>
      <c r="AI746" s="277"/>
      <c r="AJ746" s="216"/>
      <c r="AK746" s="304"/>
      <c r="AL746" s="303"/>
      <c r="AM746" s="303"/>
      <c r="AN746" s="304"/>
      <c r="AO746" s="277"/>
      <c r="AP746" s="303"/>
      <c r="AQ746" s="303"/>
      <c r="AR746" s="304"/>
      <c r="AS746" s="303"/>
      <c r="AT746" s="303"/>
      <c r="AU746" s="303"/>
      <c r="AV746" s="303"/>
      <c r="AW746" s="213"/>
      <c r="AX746" s="213"/>
      <c r="AY746" s="213"/>
      <c r="AZ746" s="213"/>
      <c r="BA746" s="213"/>
      <c r="BB746" s="213"/>
      <c r="BC746" s="213"/>
      <c r="BD746" s="213"/>
      <c r="BE746" s="213"/>
      <c r="BF746" s="213"/>
      <c r="BG746" s="213"/>
      <c r="BH746" s="213"/>
      <c r="BI746" s="213"/>
      <c r="BJ746" s="213"/>
    </row>
    <row r="747" spans="19:62" customFormat="1" ht="15.6">
      <c r="S747" s="277"/>
      <c r="T747" s="277"/>
      <c r="U747" s="277"/>
      <c r="V747" s="277"/>
      <c r="W747" s="277"/>
      <c r="X747" s="277"/>
      <c r="Y747" s="277"/>
      <c r="Z747" s="277"/>
      <c r="AA747" s="277"/>
      <c r="AB747" s="277"/>
      <c r="AC747" s="277"/>
      <c r="AD747" s="277"/>
      <c r="AE747" s="277"/>
      <c r="AF747" s="277"/>
      <c r="AG747" s="277"/>
      <c r="AH747" s="277"/>
      <c r="AI747" s="277"/>
      <c r="AJ747" s="216"/>
      <c r="AK747" s="304"/>
      <c r="AL747" s="303"/>
      <c r="AM747" s="303"/>
      <c r="AN747" s="304"/>
      <c r="AO747" s="277"/>
      <c r="AP747" s="303"/>
      <c r="AQ747" s="303"/>
      <c r="AR747" s="304"/>
      <c r="AS747" s="303"/>
      <c r="AT747" s="303"/>
      <c r="AU747" s="303"/>
      <c r="AV747" s="303"/>
      <c r="AW747" s="213"/>
      <c r="AX747" s="213"/>
      <c r="AY747" s="213"/>
      <c r="AZ747" s="213"/>
      <c r="BA747" s="213"/>
      <c r="BB747" s="213"/>
      <c r="BC747" s="213"/>
      <c r="BD747" s="213"/>
      <c r="BE747" s="213"/>
      <c r="BF747" s="213"/>
      <c r="BG747" s="213"/>
      <c r="BH747" s="213"/>
      <c r="BI747" s="213"/>
      <c r="BJ747" s="213"/>
    </row>
    <row r="748" spans="19:62" customFormat="1" ht="15.6">
      <c r="S748" s="277"/>
      <c r="T748" s="277"/>
      <c r="U748" s="277"/>
      <c r="V748" s="277"/>
      <c r="W748" s="277"/>
      <c r="X748" s="277"/>
      <c r="Y748" s="277"/>
      <c r="Z748" s="277"/>
      <c r="AA748" s="277"/>
      <c r="AB748" s="277"/>
      <c r="AC748" s="277"/>
      <c r="AD748" s="277"/>
      <c r="AE748" s="277"/>
      <c r="AF748" s="277"/>
      <c r="AG748" s="277"/>
      <c r="AH748" s="277"/>
      <c r="AI748" s="277"/>
      <c r="AJ748" s="216"/>
      <c r="AK748" s="304"/>
      <c r="AL748" s="303"/>
      <c r="AM748" s="303"/>
      <c r="AN748" s="304"/>
      <c r="AO748" s="277"/>
      <c r="AP748" s="303"/>
      <c r="AQ748" s="303"/>
      <c r="AR748" s="304"/>
      <c r="AS748" s="303"/>
      <c r="AT748" s="303"/>
      <c r="AU748" s="303"/>
      <c r="AV748" s="303"/>
      <c r="AW748" s="213"/>
      <c r="AX748" s="213"/>
      <c r="AY748" s="213"/>
      <c r="AZ748" s="213"/>
      <c r="BA748" s="213"/>
      <c r="BB748" s="213"/>
      <c r="BC748" s="213"/>
      <c r="BD748" s="213"/>
      <c r="BE748" s="213"/>
      <c r="BF748" s="213"/>
      <c r="BG748" s="213"/>
      <c r="BH748" s="213"/>
      <c r="BI748" s="213"/>
      <c r="BJ748" s="213"/>
    </row>
    <row r="749" spans="19:62" customFormat="1" ht="15.6">
      <c r="S749" s="277"/>
      <c r="T749" s="277"/>
      <c r="U749" s="277"/>
      <c r="V749" s="277"/>
      <c r="W749" s="277"/>
      <c r="X749" s="277"/>
      <c r="Y749" s="277"/>
      <c r="Z749" s="277"/>
      <c r="AA749" s="277"/>
      <c r="AB749" s="277"/>
      <c r="AC749" s="277"/>
      <c r="AD749" s="277"/>
      <c r="AE749" s="277"/>
      <c r="AF749" s="277"/>
      <c r="AG749" s="277"/>
      <c r="AH749" s="277"/>
      <c r="AI749" s="277"/>
      <c r="AJ749" s="216"/>
      <c r="AK749" s="304"/>
      <c r="AL749" s="303"/>
      <c r="AM749" s="303"/>
      <c r="AN749" s="304"/>
      <c r="AO749" s="277"/>
      <c r="AP749" s="303"/>
      <c r="AQ749" s="303"/>
      <c r="AR749" s="304"/>
      <c r="AS749" s="303"/>
      <c r="AT749" s="303"/>
      <c r="AU749" s="303"/>
      <c r="AV749" s="303"/>
      <c r="AW749" s="213"/>
      <c r="AX749" s="213"/>
      <c r="AY749" s="213"/>
      <c r="AZ749" s="213"/>
      <c r="BA749" s="213"/>
      <c r="BB749" s="213"/>
      <c r="BC749" s="213"/>
      <c r="BD749" s="213"/>
      <c r="BE749" s="213"/>
      <c r="BF749" s="213"/>
      <c r="BG749" s="213"/>
      <c r="BH749" s="213"/>
      <c r="BI749" s="213"/>
      <c r="BJ749" s="213"/>
    </row>
    <row r="750" spans="19:62" customFormat="1" ht="15.6">
      <c r="S750" s="277"/>
      <c r="T750" s="277"/>
      <c r="U750" s="277"/>
      <c r="V750" s="277"/>
      <c r="W750" s="277"/>
      <c r="X750" s="277"/>
      <c r="Y750" s="277"/>
      <c r="Z750" s="277"/>
      <c r="AA750" s="277"/>
      <c r="AB750" s="277"/>
      <c r="AC750" s="277"/>
      <c r="AD750" s="277"/>
      <c r="AE750" s="277"/>
      <c r="AF750" s="277"/>
      <c r="AG750" s="277"/>
      <c r="AH750" s="277"/>
      <c r="AI750" s="277"/>
      <c r="AJ750" s="216"/>
      <c r="AK750" s="304"/>
      <c r="AL750" s="303"/>
      <c r="AM750" s="303"/>
      <c r="AN750" s="304"/>
      <c r="AO750" s="277"/>
      <c r="AP750" s="303"/>
      <c r="AQ750" s="303"/>
      <c r="AR750" s="304"/>
      <c r="AS750" s="303"/>
      <c r="AT750" s="303"/>
      <c r="AU750" s="303"/>
      <c r="AV750" s="303"/>
      <c r="AW750" s="213"/>
      <c r="AX750" s="213"/>
      <c r="AY750" s="213"/>
      <c r="AZ750" s="213"/>
      <c r="BA750" s="213"/>
      <c r="BB750" s="213"/>
      <c r="BC750" s="213"/>
      <c r="BD750" s="213"/>
      <c r="BE750" s="213"/>
      <c r="BF750" s="213"/>
      <c r="BG750" s="213"/>
      <c r="BH750" s="213"/>
      <c r="BI750" s="213"/>
      <c r="BJ750" s="213"/>
    </row>
    <row r="751" spans="19:62" customFormat="1" ht="15.6">
      <c r="S751" s="277"/>
      <c r="T751" s="277"/>
      <c r="U751" s="277"/>
      <c r="V751" s="277"/>
      <c r="W751" s="277"/>
      <c r="X751" s="277"/>
      <c r="Y751" s="277"/>
      <c r="Z751" s="277"/>
      <c r="AA751" s="277"/>
      <c r="AB751" s="277"/>
      <c r="AC751" s="277"/>
      <c r="AD751" s="277"/>
      <c r="AE751" s="277"/>
      <c r="AF751" s="277"/>
      <c r="AG751" s="277"/>
      <c r="AH751" s="277"/>
      <c r="AI751" s="277"/>
      <c r="AJ751" s="216"/>
      <c r="AK751" s="304"/>
      <c r="AL751" s="303"/>
      <c r="AM751" s="303"/>
      <c r="AN751" s="304"/>
      <c r="AO751" s="277"/>
      <c r="AP751" s="303"/>
      <c r="AQ751" s="303"/>
      <c r="AR751" s="304"/>
      <c r="AS751" s="303"/>
      <c r="AT751" s="303"/>
      <c r="AU751" s="303"/>
      <c r="AV751" s="303"/>
      <c r="AW751" s="213"/>
      <c r="AX751" s="213"/>
      <c r="AY751" s="213"/>
      <c r="AZ751" s="213"/>
      <c r="BA751" s="213"/>
      <c r="BB751" s="213"/>
      <c r="BC751" s="213"/>
      <c r="BD751" s="213"/>
      <c r="BE751" s="213"/>
      <c r="BF751" s="213"/>
      <c r="BG751" s="213"/>
      <c r="BH751" s="213"/>
      <c r="BI751" s="213"/>
      <c r="BJ751" s="213"/>
    </row>
    <row r="752" spans="19:62" customFormat="1" ht="15.6">
      <c r="S752" s="277"/>
      <c r="T752" s="277"/>
      <c r="U752" s="277"/>
      <c r="V752" s="277"/>
      <c r="W752" s="277"/>
      <c r="X752" s="277"/>
      <c r="Y752" s="277"/>
      <c r="Z752" s="277"/>
      <c r="AA752" s="277"/>
      <c r="AB752" s="277"/>
      <c r="AC752" s="277"/>
      <c r="AD752" s="277"/>
      <c r="AE752" s="277"/>
      <c r="AF752" s="277"/>
      <c r="AG752" s="277"/>
      <c r="AH752" s="277"/>
      <c r="AI752" s="277"/>
      <c r="AJ752" s="216"/>
      <c r="AK752" s="304"/>
      <c r="AL752" s="303"/>
      <c r="AM752" s="303"/>
      <c r="AN752" s="304"/>
      <c r="AO752" s="277"/>
      <c r="AP752" s="303"/>
      <c r="AQ752" s="303"/>
      <c r="AR752" s="304"/>
      <c r="AS752" s="303"/>
      <c r="AT752" s="303"/>
      <c r="AU752" s="303"/>
      <c r="AV752" s="303"/>
      <c r="AW752" s="213"/>
      <c r="AX752" s="213"/>
      <c r="AY752" s="213"/>
      <c r="AZ752" s="213"/>
      <c r="BA752" s="213"/>
      <c r="BB752" s="213"/>
      <c r="BC752" s="213"/>
      <c r="BD752" s="213"/>
      <c r="BE752" s="213"/>
      <c r="BF752" s="213"/>
      <c r="BG752" s="213"/>
      <c r="BH752" s="213"/>
      <c r="BI752" s="213"/>
      <c r="BJ752" s="213"/>
    </row>
    <row r="753" spans="19:62" customFormat="1" ht="15.6">
      <c r="S753" s="277"/>
      <c r="T753" s="277"/>
      <c r="U753" s="277"/>
      <c r="V753" s="277"/>
      <c r="W753" s="277"/>
      <c r="X753" s="277"/>
      <c r="Y753" s="277"/>
      <c r="Z753" s="277"/>
      <c r="AA753" s="277"/>
      <c r="AB753" s="277"/>
      <c r="AC753" s="277"/>
      <c r="AD753" s="277"/>
      <c r="AE753" s="277"/>
      <c r="AF753" s="277"/>
      <c r="AG753" s="277"/>
      <c r="AH753" s="277"/>
      <c r="AI753" s="277"/>
      <c r="AJ753" s="216"/>
      <c r="AK753" s="304"/>
      <c r="AL753" s="303"/>
      <c r="AM753" s="303"/>
      <c r="AN753" s="304"/>
      <c r="AO753" s="277"/>
      <c r="AP753" s="303"/>
      <c r="AQ753" s="303"/>
      <c r="AR753" s="304"/>
      <c r="AS753" s="303"/>
      <c r="AT753" s="303"/>
      <c r="AU753" s="303"/>
      <c r="AV753" s="303"/>
      <c r="AW753" s="213"/>
      <c r="AX753" s="213"/>
      <c r="AY753" s="213"/>
      <c r="AZ753" s="213"/>
      <c r="BA753" s="213"/>
      <c r="BB753" s="213"/>
      <c r="BC753" s="213"/>
      <c r="BD753" s="213"/>
      <c r="BE753" s="213"/>
      <c r="BF753" s="213"/>
      <c r="BG753" s="213"/>
      <c r="BH753" s="213"/>
      <c r="BI753" s="213"/>
      <c r="BJ753" s="213"/>
    </row>
    <row r="754" spans="19:62" customFormat="1" ht="15.6">
      <c r="S754" s="277"/>
      <c r="T754" s="277"/>
      <c r="U754" s="277"/>
      <c r="V754" s="277"/>
      <c r="W754" s="277"/>
      <c r="X754" s="277"/>
      <c r="Y754" s="277"/>
      <c r="Z754" s="277"/>
      <c r="AA754" s="277"/>
      <c r="AB754" s="277"/>
      <c r="AC754" s="277"/>
      <c r="AD754" s="277"/>
      <c r="AE754" s="277"/>
      <c r="AF754" s="277"/>
      <c r="AG754" s="277"/>
      <c r="AH754" s="277"/>
      <c r="AI754" s="277"/>
      <c r="AJ754" s="216"/>
      <c r="AK754" s="304"/>
      <c r="AL754" s="303"/>
      <c r="AM754" s="303"/>
      <c r="AN754" s="304"/>
      <c r="AO754" s="277"/>
      <c r="AP754" s="277"/>
      <c r="AQ754" s="277"/>
      <c r="AR754" s="301"/>
      <c r="AS754" s="303"/>
      <c r="AT754" s="303"/>
      <c r="AU754" s="303"/>
      <c r="AV754" s="303"/>
      <c r="AW754" s="213"/>
      <c r="AX754" s="213"/>
      <c r="AY754" s="213"/>
      <c r="AZ754" s="213"/>
      <c r="BA754" s="213"/>
      <c r="BB754" s="213"/>
      <c r="BC754" s="213"/>
      <c r="BD754" s="213"/>
      <c r="BE754" s="213"/>
      <c r="BF754" s="213"/>
      <c r="BG754" s="213"/>
      <c r="BH754" s="213"/>
      <c r="BI754" s="213"/>
      <c r="BJ754" s="213"/>
    </row>
    <row r="755" spans="19:62" customFormat="1" ht="15.6">
      <c r="S755" s="277"/>
      <c r="T755" s="277"/>
      <c r="U755" s="277"/>
      <c r="V755" s="277"/>
      <c r="W755" s="277"/>
      <c r="X755" s="277"/>
      <c r="Y755" s="277"/>
      <c r="Z755" s="277"/>
      <c r="AA755" s="277"/>
      <c r="AB755" s="277"/>
      <c r="AC755" s="277"/>
      <c r="AD755" s="277"/>
      <c r="AE755" s="277"/>
      <c r="AF755" s="277"/>
      <c r="AG755" s="277"/>
      <c r="AH755" s="277"/>
      <c r="AI755" s="277"/>
      <c r="AJ755" s="216"/>
      <c r="AK755" s="304"/>
      <c r="AL755" s="303"/>
      <c r="AM755" s="303"/>
      <c r="AN755" s="304"/>
      <c r="AO755" s="277"/>
      <c r="AP755" s="277"/>
      <c r="AQ755" s="277"/>
      <c r="AR755" s="301"/>
      <c r="AS755" s="303"/>
      <c r="AT755" s="303"/>
      <c r="AU755" s="303"/>
      <c r="AV755" s="303"/>
      <c r="AW755" s="213"/>
      <c r="AX755" s="213"/>
      <c r="AY755" s="213"/>
      <c r="AZ755" s="213"/>
      <c r="BA755" s="213"/>
      <c r="BB755" s="213"/>
      <c r="BC755" s="213"/>
      <c r="BD755" s="213"/>
      <c r="BE755" s="213"/>
      <c r="BF755" s="213"/>
      <c r="BG755" s="213"/>
      <c r="BH755" s="213"/>
      <c r="BI755" s="213"/>
      <c r="BJ755" s="213"/>
    </row>
    <row r="756" spans="19:62" customFormat="1" ht="15.6">
      <c r="S756" s="277"/>
      <c r="T756" s="277"/>
      <c r="U756" s="277"/>
      <c r="V756" s="277"/>
      <c r="W756" s="277"/>
      <c r="X756" s="277"/>
      <c r="Y756" s="277"/>
      <c r="Z756" s="277"/>
      <c r="AA756" s="277"/>
      <c r="AB756" s="277"/>
      <c r="AC756" s="277"/>
      <c r="AD756" s="277"/>
      <c r="AE756" s="277"/>
      <c r="AF756" s="277"/>
      <c r="AG756" s="277"/>
      <c r="AH756" s="277"/>
      <c r="AI756" s="277"/>
      <c r="AJ756" s="216"/>
      <c r="AK756" s="304"/>
      <c r="AL756" s="303"/>
      <c r="AM756" s="303"/>
      <c r="AN756" s="304"/>
      <c r="AO756" s="277"/>
      <c r="AP756" s="277"/>
      <c r="AQ756" s="277"/>
      <c r="AR756" s="301"/>
      <c r="AS756" s="303"/>
      <c r="AT756" s="303"/>
      <c r="AU756" s="303"/>
      <c r="AV756" s="303"/>
      <c r="AW756" s="213"/>
      <c r="AX756" s="213"/>
      <c r="AY756" s="213"/>
      <c r="AZ756" s="213"/>
      <c r="BA756" s="213"/>
      <c r="BB756" s="213"/>
      <c r="BC756" s="213"/>
      <c r="BD756" s="213"/>
      <c r="BE756" s="213"/>
      <c r="BF756" s="213"/>
      <c r="BG756" s="213"/>
      <c r="BH756" s="213"/>
      <c r="BI756" s="213"/>
      <c r="BJ756" s="213"/>
    </row>
    <row r="757" spans="19:62" customFormat="1" ht="15.6">
      <c r="S757" s="277"/>
      <c r="T757" s="277"/>
      <c r="U757" s="277"/>
      <c r="V757" s="277"/>
      <c r="W757" s="277"/>
      <c r="X757" s="277"/>
      <c r="Y757" s="277"/>
      <c r="Z757" s="277"/>
      <c r="AA757" s="277"/>
      <c r="AB757" s="277"/>
      <c r="AC757" s="277"/>
      <c r="AD757" s="277"/>
      <c r="AE757" s="277"/>
      <c r="AF757" s="277"/>
      <c r="AG757" s="277"/>
      <c r="AH757" s="277"/>
      <c r="AI757" s="277"/>
      <c r="AJ757" s="216"/>
      <c r="AK757" s="304"/>
      <c r="AL757" s="303"/>
      <c r="AM757" s="303"/>
      <c r="AN757" s="304"/>
      <c r="AO757" s="277"/>
      <c r="AP757" s="277"/>
      <c r="AQ757" s="277"/>
      <c r="AR757" s="301"/>
      <c r="AS757" s="303"/>
      <c r="AT757" s="303"/>
      <c r="AU757" s="303"/>
      <c r="AV757" s="303"/>
      <c r="AW757" s="213"/>
      <c r="AX757" s="213"/>
      <c r="AY757" s="213"/>
      <c r="AZ757" s="213"/>
      <c r="BA757" s="213"/>
      <c r="BB757" s="213"/>
      <c r="BC757" s="213"/>
      <c r="BD757" s="213"/>
      <c r="BE757" s="213"/>
      <c r="BF757" s="213"/>
      <c r="BG757" s="213"/>
      <c r="BH757" s="213"/>
      <c r="BI757" s="213"/>
      <c r="BJ757" s="213"/>
    </row>
    <row r="758" spans="19:62" customFormat="1" ht="15.6">
      <c r="S758" s="277"/>
      <c r="T758" s="277"/>
      <c r="U758" s="277"/>
      <c r="V758" s="277"/>
      <c r="W758" s="277"/>
      <c r="X758" s="277"/>
      <c r="Y758" s="277"/>
      <c r="Z758" s="277"/>
      <c r="AA758" s="277"/>
      <c r="AB758" s="277"/>
      <c r="AC758" s="277"/>
      <c r="AD758" s="277"/>
      <c r="AE758" s="277"/>
      <c r="AF758" s="277"/>
      <c r="AG758" s="277"/>
      <c r="AH758" s="277"/>
      <c r="AI758" s="277"/>
      <c r="AJ758" s="216"/>
      <c r="AK758" s="304"/>
      <c r="AL758" s="303"/>
      <c r="AM758" s="303"/>
      <c r="AN758" s="304"/>
      <c r="AO758" s="277"/>
      <c r="AP758" s="277"/>
      <c r="AQ758" s="277"/>
      <c r="AR758" s="301"/>
      <c r="AS758" s="303"/>
      <c r="AT758" s="303"/>
      <c r="AU758" s="303"/>
      <c r="AV758" s="303"/>
      <c r="AW758" s="213"/>
      <c r="AX758" s="213"/>
      <c r="AY758" s="213"/>
      <c r="AZ758" s="213"/>
      <c r="BA758" s="213"/>
      <c r="BB758" s="213"/>
      <c r="BC758" s="213"/>
      <c r="BD758" s="213"/>
      <c r="BE758" s="213"/>
      <c r="BF758" s="213"/>
      <c r="BG758" s="213"/>
      <c r="BH758" s="213"/>
      <c r="BI758" s="213"/>
      <c r="BJ758" s="213"/>
    </row>
    <row r="759" spans="19:62" customFormat="1" ht="15.6">
      <c r="S759" s="277"/>
      <c r="T759" s="277"/>
      <c r="U759" s="277"/>
      <c r="V759" s="277"/>
      <c r="W759" s="277"/>
      <c r="X759" s="277"/>
      <c r="Y759" s="277"/>
      <c r="Z759" s="277"/>
      <c r="AA759" s="277"/>
      <c r="AB759" s="277"/>
      <c r="AC759" s="277"/>
      <c r="AD759" s="277"/>
      <c r="AE759" s="277"/>
      <c r="AF759" s="277"/>
      <c r="AG759" s="277"/>
      <c r="AH759" s="277"/>
      <c r="AI759" s="277"/>
      <c r="AJ759" s="216"/>
      <c r="AK759" s="304"/>
      <c r="AL759" s="303"/>
      <c r="AM759" s="303"/>
      <c r="AN759" s="304"/>
      <c r="AO759" s="277"/>
      <c r="AP759" s="277"/>
      <c r="AQ759" s="277"/>
      <c r="AR759" s="301"/>
      <c r="AS759" s="303"/>
      <c r="AT759" s="303"/>
      <c r="AU759" s="303"/>
      <c r="AV759" s="303"/>
      <c r="AW759" s="213"/>
      <c r="AX759" s="213"/>
      <c r="AY759" s="213"/>
      <c r="AZ759" s="213"/>
      <c r="BA759" s="213"/>
      <c r="BB759" s="213"/>
      <c r="BC759" s="213"/>
      <c r="BD759" s="213"/>
      <c r="BE759" s="213"/>
      <c r="BF759" s="213"/>
      <c r="BG759" s="213"/>
      <c r="BH759" s="213"/>
      <c r="BI759" s="213"/>
      <c r="BJ759" s="213"/>
    </row>
    <row r="760" spans="19:62" customFormat="1" ht="15.6">
      <c r="S760" s="277"/>
      <c r="T760" s="277"/>
      <c r="U760" s="277"/>
      <c r="V760" s="277"/>
      <c r="W760" s="277"/>
      <c r="X760" s="277"/>
      <c r="Y760" s="277"/>
      <c r="Z760" s="277"/>
      <c r="AA760" s="277"/>
      <c r="AB760" s="277"/>
      <c r="AC760" s="277"/>
      <c r="AD760" s="277"/>
      <c r="AE760" s="277"/>
      <c r="AF760" s="277"/>
      <c r="AG760" s="277"/>
      <c r="AH760" s="277"/>
      <c r="AI760" s="277"/>
      <c r="AJ760" s="216"/>
      <c r="AK760" s="304"/>
      <c r="AL760" s="303"/>
      <c r="AM760" s="303"/>
      <c r="AN760" s="304"/>
      <c r="AO760" s="277"/>
      <c r="AP760" s="277"/>
      <c r="AQ760" s="277"/>
      <c r="AR760" s="301"/>
      <c r="AS760" s="303"/>
      <c r="AT760" s="303"/>
      <c r="AU760" s="303"/>
      <c r="AV760" s="303"/>
      <c r="AW760" s="213"/>
      <c r="AX760" s="213"/>
      <c r="AY760" s="213"/>
      <c r="AZ760" s="213"/>
      <c r="BA760" s="213"/>
      <c r="BB760" s="213"/>
      <c r="BC760" s="213"/>
      <c r="BD760" s="213"/>
      <c r="BE760" s="213"/>
      <c r="BF760" s="213"/>
      <c r="BG760" s="213"/>
      <c r="BH760" s="213"/>
      <c r="BI760" s="213"/>
      <c r="BJ760" s="213"/>
    </row>
    <row r="761" spans="19:62" customFormat="1" ht="15.6">
      <c r="S761" s="277"/>
      <c r="T761" s="277"/>
      <c r="U761" s="277"/>
      <c r="V761" s="277"/>
      <c r="W761" s="277"/>
      <c r="X761" s="277"/>
      <c r="Y761" s="277"/>
      <c r="Z761" s="277"/>
      <c r="AA761" s="277"/>
      <c r="AB761" s="277"/>
      <c r="AC761" s="277"/>
      <c r="AD761" s="277"/>
      <c r="AE761" s="277"/>
      <c r="AF761" s="277"/>
      <c r="AG761" s="277"/>
      <c r="AH761" s="277"/>
      <c r="AI761" s="277"/>
      <c r="AJ761" s="216"/>
      <c r="AK761" s="312"/>
      <c r="AL761" s="303"/>
      <c r="AM761" s="303"/>
      <c r="AN761" s="304"/>
      <c r="AO761" s="277"/>
      <c r="AP761" s="277"/>
      <c r="AQ761" s="277"/>
      <c r="AR761" s="301"/>
      <c r="AS761" s="303"/>
      <c r="AT761" s="303"/>
      <c r="AU761" s="303"/>
      <c r="AV761" s="303"/>
      <c r="AW761" s="213"/>
      <c r="AX761" s="213"/>
      <c r="AY761" s="213"/>
      <c r="AZ761" s="213"/>
      <c r="BA761" s="213"/>
      <c r="BB761" s="213"/>
      <c r="BC761" s="213"/>
      <c r="BD761" s="213"/>
      <c r="BE761" s="213"/>
      <c r="BF761" s="213"/>
      <c r="BG761" s="213"/>
      <c r="BH761" s="213"/>
      <c r="BI761" s="213"/>
      <c r="BJ761" s="213"/>
    </row>
    <row r="762" spans="19:62" customFormat="1" ht="15.6">
      <c r="S762" s="277"/>
      <c r="T762" s="277"/>
      <c r="U762" s="277"/>
      <c r="V762" s="277"/>
      <c r="W762" s="277"/>
      <c r="X762" s="277"/>
      <c r="Y762" s="277"/>
      <c r="Z762" s="277"/>
      <c r="AA762" s="277"/>
      <c r="AB762" s="277"/>
      <c r="AC762" s="277"/>
      <c r="AD762" s="277"/>
      <c r="AE762" s="277"/>
      <c r="AF762" s="277"/>
      <c r="AG762" s="277"/>
      <c r="AH762" s="277"/>
      <c r="AI762" s="277"/>
      <c r="AJ762" s="216"/>
      <c r="AK762" s="304"/>
      <c r="AL762" s="303"/>
      <c r="AM762" s="303"/>
      <c r="AN762" s="304"/>
      <c r="AO762" s="277"/>
      <c r="AP762" s="277"/>
      <c r="AQ762" s="277"/>
      <c r="AR762" s="301"/>
      <c r="AS762" s="303"/>
      <c r="AT762" s="303"/>
      <c r="AU762" s="303"/>
      <c r="AV762" s="303"/>
      <c r="AW762" s="213"/>
      <c r="AX762" s="213"/>
      <c r="AY762" s="213"/>
      <c r="AZ762" s="213"/>
      <c r="BA762" s="213"/>
      <c r="BB762" s="213"/>
      <c r="BC762" s="213"/>
      <c r="BD762" s="213"/>
      <c r="BE762" s="213"/>
      <c r="BF762" s="213"/>
      <c r="BG762" s="213"/>
      <c r="BH762" s="213"/>
      <c r="BI762" s="213"/>
      <c r="BJ762" s="213"/>
    </row>
    <row r="763" spans="19:62" customFormat="1" ht="15.6">
      <c r="S763" s="277"/>
      <c r="T763" s="277"/>
      <c r="U763" s="277"/>
      <c r="V763" s="277"/>
      <c r="W763" s="277"/>
      <c r="X763" s="277"/>
      <c r="Y763" s="277"/>
      <c r="Z763" s="277"/>
      <c r="AA763" s="277"/>
      <c r="AB763" s="277"/>
      <c r="AC763" s="277"/>
      <c r="AD763" s="277"/>
      <c r="AE763" s="277"/>
      <c r="AF763" s="277"/>
      <c r="AG763" s="277"/>
      <c r="AH763" s="277"/>
      <c r="AI763" s="277"/>
      <c r="AJ763" s="216"/>
      <c r="AK763" s="304"/>
      <c r="AL763" s="303"/>
      <c r="AM763" s="303"/>
      <c r="AN763" s="304"/>
      <c r="AO763" s="277"/>
      <c r="AP763" s="277"/>
      <c r="AQ763" s="277"/>
      <c r="AR763" s="301"/>
      <c r="AS763" s="303"/>
      <c r="AT763" s="303"/>
      <c r="AU763" s="303"/>
      <c r="AV763" s="303"/>
      <c r="AW763" s="213"/>
      <c r="AX763" s="213"/>
      <c r="AY763" s="213"/>
      <c r="AZ763" s="213"/>
      <c r="BA763" s="213"/>
      <c r="BB763" s="213"/>
      <c r="BC763" s="213"/>
      <c r="BD763" s="213"/>
      <c r="BE763" s="213"/>
      <c r="BF763" s="213"/>
      <c r="BG763" s="213"/>
      <c r="BH763" s="213"/>
      <c r="BI763" s="213"/>
      <c r="BJ763" s="213"/>
    </row>
    <row r="764" spans="19:62" customFormat="1" ht="15.6">
      <c r="S764" s="277"/>
      <c r="T764" s="277"/>
      <c r="U764" s="277"/>
      <c r="V764" s="277"/>
      <c r="W764" s="277"/>
      <c r="X764" s="277"/>
      <c r="Y764" s="277"/>
      <c r="Z764" s="277"/>
      <c r="AA764" s="277"/>
      <c r="AB764" s="277"/>
      <c r="AC764" s="277"/>
      <c r="AD764" s="277"/>
      <c r="AE764" s="277"/>
      <c r="AF764" s="277"/>
      <c r="AG764" s="277"/>
      <c r="AH764" s="277"/>
      <c r="AI764" s="277"/>
      <c r="AJ764" s="216"/>
      <c r="AK764" s="304"/>
      <c r="AL764" s="303"/>
      <c r="AM764" s="303"/>
      <c r="AN764" s="304"/>
      <c r="AO764" s="277"/>
      <c r="AP764" s="277"/>
      <c r="AQ764" s="277"/>
      <c r="AR764" s="301"/>
      <c r="AS764" s="303"/>
      <c r="AT764" s="303"/>
      <c r="AU764" s="303"/>
      <c r="AV764" s="303"/>
      <c r="AW764" s="213"/>
      <c r="AX764" s="213"/>
      <c r="AY764" s="213"/>
      <c r="AZ764" s="213"/>
      <c r="BA764" s="213"/>
      <c r="BB764" s="213"/>
      <c r="BC764" s="213"/>
      <c r="BD764" s="213"/>
      <c r="BE764" s="213"/>
      <c r="BF764" s="213"/>
      <c r="BG764" s="213"/>
      <c r="BH764" s="213"/>
      <c r="BI764" s="213"/>
      <c r="BJ764" s="213"/>
    </row>
    <row r="765" spans="19:62" customFormat="1" ht="15.6">
      <c r="S765" s="277"/>
      <c r="T765" s="277"/>
      <c r="U765" s="277"/>
      <c r="V765" s="277"/>
      <c r="W765" s="277"/>
      <c r="X765" s="277"/>
      <c r="Y765" s="277"/>
      <c r="Z765" s="277"/>
      <c r="AA765" s="277"/>
      <c r="AB765" s="277"/>
      <c r="AC765" s="277"/>
      <c r="AD765" s="277"/>
      <c r="AE765" s="277"/>
      <c r="AF765" s="277"/>
      <c r="AG765" s="277"/>
      <c r="AH765" s="277"/>
      <c r="AI765" s="277"/>
      <c r="AJ765" s="277"/>
      <c r="AK765" s="301"/>
      <c r="AL765" s="277"/>
      <c r="AM765" s="303"/>
      <c r="AN765" s="304"/>
      <c r="AO765" s="277"/>
      <c r="AP765" s="277"/>
      <c r="AQ765" s="277"/>
      <c r="AR765" s="301"/>
      <c r="AS765" s="303"/>
      <c r="AT765" s="303"/>
      <c r="AU765" s="303"/>
      <c r="AV765" s="303"/>
      <c r="AW765" s="213"/>
      <c r="AX765" s="213"/>
      <c r="AY765" s="213"/>
      <c r="AZ765" s="213"/>
      <c r="BA765" s="213"/>
      <c r="BB765" s="213"/>
      <c r="BC765" s="213"/>
      <c r="BD765" s="213"/>
      <c r="BE765" s="213"/>
      <c r="BF765" s="213"/>
      <c r="BG765" s="213"/>
      <c r="BH765" s="213"/>
      <c r="BI765" s="213"/>
      <c r="BJ765" s="213"/>
    </row>
    <row r="766" spans="19:62" customFormat="1" ht="15.6">
      <c r="S766" s="277"/>
      <c r="T766" s="277"/>
      <c r="U766" s="277"/>
      <c r="V766" s="277"/>
      <c r="W766" s="277"/>
      <c r="X766" s="277"/>
      <c r="Y766" s="277"/>
      <c r="Z766" s="277"/>
      <c r="AA766" s="277"/>
      <c r="AB766" s="277"/>
      <c r="AC766" s="277"/>
      <c r="AD766" s="277"/>
      <c r="AE766" s="277"/>
      <c r="AF766" s="277"/>
      <c r="AG766" s="277"/>
      <c r="AH766" s="277"/>
      <c r="AI766" s="277"/>
      <c r="AJ766" s="277"/>
      <c r="AK766" s="301"/>
      <c r="AL766" s="277"/>
      <c r="AM766" s="303"/>
      <c r="AN766" s="304"/>
      <c r="AO766" s="277"/>
      <c r="AP766" s="277"/>
      <c r="AQ766" s="277"/>
      <c r="AR766" s="301"/>
      <c r="AS766" s="303"/>
      <c r="AT766" s="303"/>
      <c r="AU766" s="303"/>
      <c r="AV766" s="303"/>
      <c r="AW766" s="213"/>
      <c r="AX766" s="213"/>
      <c r="AY766" s="213"/>
      <c r="AZ766" s="213"/>
      <c r="BA766" s="213"/>
      <c r="BB766" s="213"/>
      <c r="BC766" s="213"/>
      <c r="BD766" s="213"/>
      <c r="BE766" s="213"/>
      <c r="BF766" s="213"/>
      <c r="BG766" s="213"/>
      <c r="BH766" s="213"/>
      <c r="BI766" s="213"/>
      <c r="BJ766" s="213"/>
    </row>
    <row r="767" spans="19:62" customFormat="1" ht="15.6">
      <c r="S767" s="277"/>
      <c r="T767" s="277"/>
      <c r="U767" s="277"/>
      <c r="V767" s="277"/>
      <c r="W767" s="277"/>
      <c r="X767" s="277"/>
      <c r="Y767" s="277"/>
      <c r="Z767" s="277"/>
      <c r="AA767" s="277"/>
      <c r="AB767" s="277"/>
      <c r="AC767" s="277"/>
      <c r="AD767" s="277"/>
      <c r="AE767" s="277"/>
      <c r="AF767" s="277"/>
      <c r="AG767" s="277"/>
      <c r="AH767" s="277"/>
      <c r="AI767" s="277"/>
      <c r="AJ767" s="277"/>
      <c r="AK767" s="301"/>
      <c r="AL767" s="277"/>
      <c r="AM767" s="303"/>
      <c r="AN767" s="304"/>
      <c r="AO767" s="277"/>
      <c r="AP767" s="277"/>
      <c r="AQ767" s="277"/>
      <c r="AR767" s="301"/>
      <c r="AS767" s="303"/>
      <c r="AT767" s="303"/>
      <c r="AU767" s="303"/>
      <c r="AV767" s="303"/>
      <c r="AW767" s="213"/>
      <c r="AX767" s="213"/>
      <c r="AY767" s="213"/>
      <c r="AZ767" s="213"/>
      <c r="BA767" s="213"/>
      <c r="BB767" s="213"/>
      <c r="BC767" s="213"/>
      <c r="BD767" s="213"/>
      <c r="BE767" s="213"/>
      <c r="BF767" s="213"/>
      <c r="BG767" s="213"/>
      <c r="BH767" s="213"/>
      <c r="BI767" s="213"/>
      <c r="BJ767" s="213"/>
    </row>
    <row r="768" spans="19:62" customFormat="1" ht="15.6">
      <c r="S768" s="52"/>
      <c r="T768" s="52"/>
      <c r="U768" s="52"/>
      <c r="V768" s="52"/>
      <c r="W768" s="52"/>
      <c r="X768" s="52"/>
      <c r="Y768" s="52"/>
      <c r="Z768" s="52"/>
      <c r="AA768" s="52"/>
      <c r="AB768" s="52"/>
      <c r="AC768" s="52"/>
      <c r="AD768" s="52"/>
      <c r="AE768" s="52"/>
      <c r="AF768" s="52"/>
      <c r="AG768" s="52"/>
      <c r="AH768" s="52"/>
      <c r="AI768" s="52"/>
      <c r="AJ768" s="52"/>
      <c r="AK768" s="290"/>
      <c r="AL768" s="52"/>
      <c r="AM768" s="213"/>
      <c r="AN768" s="291"/>
      <c r="AO768" s="52"/>
      <c r="AP768" s="52"/>
      <c r="AQ768" s="52"/>
      <c r="AR768" s="290"/>
      <c r="AS768" s="213"/>
      <c r="AT768" s="213"/>
      <c r="AU768" s="213"/>
      <c r="AV768" s="213"/>
      <c r="AW768" s="213"/>
      <c r="AX768" s="213"/>
      <c r="AY768" s="213"/>
      <c r="AZ768" s="213"/>
      <c r="BA768" s="213"/>
      <c r="BB768" s="213"/>
      <c r="BC768" s="213"/>
      <c r="BD768" s="213"/>
      <c r="BE768" s="213"/>
      <c r="BF768" s="213"/>
      <c r="BG768" s="213"/>
      <c r="BH768" s="213"/>
      <c r="BI768" s="213"/>
      <c r="BJ768" s="213"/>
    </row>
    <row r="769" spans="19:62" customFormat="1" ht="15.6">
      <c r="S769" s="52"/>
      <c r="T769" s="52"/>
      <c r="U769" s="52"/>
      <c r="V769" s="52"/>
      <c r="W769" s="52"/>
      <c r="X769" s="52"/>
      <c r="Y769" s="52"/>
      <c r="Z769" s="52"/>
      <c r="AA769" s="52"/>
      <c r="AB769" s="52"/>
      <c r="AC769" s="52"/>
      <c r="AD769" s="52"/>
      <c r="AE769" s="52"/>
      <c r="AF769" s="52"/>
      <c r="AG769" s="52"/>
      <c r="AH769" s="52"/>
      <c r="AI769" s="52"/>
      <c r="AJ769" s="52"/>
      <c r="AK769" s="290"/>
      <c r="AL769" s="52"/>
      <c r="AM769" s="213"/>
      <c r="AN769" s="291"/>
      <c r="AO769" s="52"/>
      <c r="AP769" s="52"/>
      <c r="AQ769" s="52"/>
      <c r="AR769" s="290"/>
      <c r="AS769" s="213"/>
      <c r="AT769" s="52"/>
      <c r="AU769" s="52"/>
      <c r="AV769" s="52"/>
      <c r="AW769" s="213"/>
      <c r="AX769" s="213"/>
      <c r="AY769" s="213"/>
      <c r="AZ769" s="213"/>
      <c r="BA769" s="213"/>
      <c r="BB769" s="213"/>
      <c r="BC769" s="213"/>
      <c r="BD769" s="213"/>
      <c r="BE769" s="213"/>
      <c r="BF769" s="213"/>
      <c r="BG769" s="213"/>
      <c r="BH769" s="213"/>
      <c r="BI769" s="213"/>
      <c r="BJ769" s="213"/>
    </row>
    <row r="770" spans="19:62" customFormat="1" ht="15.6">
      <c r="S770" s="52"/>
      <c r="T770" s="52"/>
      <c r="U770" s="52"/>
      <c r="V770" s="52"/>
      <c r="W770" s="52"/>
      <c r="X770" s="52"/>
      <c r="Y770" s="52"/>
      <c r="Z770" s="52"/>
      <c r="AA770" s="52"/>
      <c r="AB770" s="52"/>
      <c r="AC770" s="52"/>
      <c r="AD770" s="52"/>
      <c r="AE770" s="52"/>
      <c r="AF770" s="52"/>
      <c r="AG770" s="52"/>
      <c r="AH770" s="52"/>
      <c r="AI770" s="52"/>
      <c r="AJ770" s="52"/>
      <c r="AK770" s="290"/>
      <c r="AL770" s="52"/>
      <c r="AM770" s="213"/>
      <c r="AN770" s="291"/>
      <c r="AO770" s="52"/>
      <c r="AP770" s="52"/>
      <c r="AQ770" s="52"/>
      <c r="AR770" s="290"/>
      <c r="AS770" s="213"/>
      <c r="AT770" s="52"/>
      <c r="AU770" s="52"/>
      <c r="AV770" s="52"/>
      <c r="AW770" s="213"/>
      <c r="AX770" s="213"/>
      <c r="AY770" s="213"/>
      <c r="AZ770" s="213"/>
      <c r="BA770" s="213"/>
      <c r="BB770" s="213"/>
      <c r="BC770" s="213"/>
      <c r="BD770" s="213"/>
      <c r="BE770" s="213"/>
      <c r="BF770" s="213"/>
      <c r="BG770" s="213"/>
      <c r="BH770" s="213"/>
      <c r="BI770" s="213"/>
      <c r="BJ770" s="213"/>
    </row>
    <row r="771" spans="19:62" customFormat="1" ht="15.6">
      <c r="S771" s="52"/>
      <c r="T771" s="52"/>
      <c r="U771" s="52"/>
      <c r="V771" s="52"/>
      <c r="W771" s="52"/>
      <c r="X771" s="52"/>
      <c r="Y771" s="52"/>
      <c r="Z771" s="52"/>
      <c r="AA771" s="52"/>
      <c r="AB771" s="52"/>
      <c r="AC771" s="52"/>
      <c r="AD771" s="52"/>
      <c r="AE771" s="52"/>
      <c r="AF771" s="52"/>
      <c r="AG771" s="52"/>
      <c r="AH771" s="52"/>
      <c r="AI771" s="52"/>
      <c r="AJ771" s="52"/>
      <c r="AK771" s="290"/>
      <c r="AL771" s="52"/>
      <c r="AM771" s="213"/>
      <c r="AN771" s="291"/>
      <c r="AO771" s="52"/>
      <c r="AP771" s="52"/>
      <c r="AQ771" s="52"/>
      <c r="AR771" s="290"/>
      <c r="AS771" s="213"/>
      <c r="AT771" s="52"/>
      <c r="AU771" s="52"/>
      <c r="AV771" s="52"/>
      <c r="AW771" s="213"/>
      <c r="AX771" s="213"/>
      <c r="AY771" s="213"/>
      <c r="AZ771" s="213"/>
      <c r="BA771" s="213"/>
      <c r="BB771" s="213"/>
      <c r="BC771" s="213"/>
      <c r="BD771" s="213"/>
      <c r="BE771" s="213"/>
      <c r="BF771" s="213"/>
      <c r="BG771" s="213"/>
      <c r="BH771" s="213"/>
      <c r="BI771" s="213"/>
      <c r="BJ771" s="213"/>
    </row>
    <row r="772" spans="19:62" customFormat="1" ht="15.6">
      <c r="S772" s="52"/>
      <c r="T772" s="52"/>
      <c r="U772" s="52"/>
      <c r="V772" s="52"/>
      <c r="W772" s="52"/>
      <c r="X772" s="52"/>
      <c r="Y772" s="52"/>
      <c r="Z772" s="52"/>
      <c r="AA772" s="52"/>
      <c r="AB772" s="52"/>
      <c r="AC772" s="52"/>
      <c r="AD772" s="52"/>
      <c r="AE772" s="52"/>
      <c r="AF772" s="52"/>
      <c r="AG772" s="52"/>
      <c r="AH772" s="52"/>
      <c r="AI772" s="52"/>
      <c r="AJ772" s="52"/>
      <c r="AK772" s="290"/>
      <c r="AL772" s="52"/>
      <c r="AM772" s="213"/>
      <c r="AN772" s="291"/>
      <c r="AO772" s="52"/>
      <c r="AP772" s="52"/>
      <c r="AQ772" s="52"/>
      <c r="AR772" s="290"/>
      <c r="AS772" s="52"/>
      <c r="AT772" s="52"/>
      <c r="AU772" s="52"/>
      <c r="AV772" s="52"/>
      <c r="AW772" s="213"/>
      <c r="AX772" s="213"/>
      <c r="AY772" s="213"/>
      <c r="AZ772" s="213"/>
      <c r="BA772" s="213"/>
      <c r="BB772" s="213"/>
      <c r="BC772" s="213"/>
      <c r="BD772" s="213"/>
      <c r="BE772" s="213"/>
      <c r="BF772" s="213"/>
      <c r="BG772" s="213"/>
      <c r="BH772" s="213"/>
      <c r="BI772" s="213"/>
      <c r="BJ772" s="213"/>
    </row>
    <row r="773" spans="19:62" customFormat="1" ht="15.6">
      <c r="S773" s="52"/>
      <c r="T773" s="52"/>
      <c r="U773" s="52"/>
      <c r="V773" s="52"/>
      <c r="W773" s="52"/>
      <c r="X773" s="52"/>
      <c r="Y773" s="52"/>
      <c r="Z773" s="52"/>
      <c r="AA773" s="52"/>
      <c r="AB773" s="52"/>
      <c r="AC773" s="52"/>
      <c r="AD773" s="52"/>
      <c r="AE773" s="52"/>
      <c r="AF773" s="52"/>
      <c r="AG773" s="52"/>
      <c r="AH773" s="52"/>
      <c r="AI773" s="52"/>
      <c r="AJ773" s="52"/>
      <c r="AK773" s="290"/>
      <c r="AL773" s="52"/>
      <c r="AM773" s="213"/>
      <c r="AN773" s="291"/>
      <c r="AO773" s="52"/>
      <c r="AP773" s="52"/>
      <c r="AQ773" s="52"/>
      <c r="AR773" s="290"/>
      <c r="AS773" s="52"/>
      <c r="AT773" s="52"/>
      <c r="AU773" s="52"/>
      <c r="AV773" s="52"/>
      <c r="AW773" s="213"/>
      <c r="AX773" s="213"/>
      <c r="AY773" s="213"/>
      <c r="AZ773" s="213"/>
      <c r="BA773" s="213"/>
      <c r="BB773" s="213"/>
      <c r="BC773" s="213"/>
      <c r="BD773" s="213"/>
      <c r="BE773" s="213"/>
      <c r="BF773" s="213"/>
      <c r="BG773" s="213"/>
      <c r="BH773" s="213"/>
      <c r="BI773" s="213"/>
      <c r="BJ773" s="213"/>
    </row>
    <row r="774" spans="19:62" customFormat="1" ht="15.6">
      <c r="S774" s="52"/>
      <c r="T774" s="52"/>
      <c r="U774" s="52"/>
      <c r="V774" s="52"/>
      <c r="W774" s="52"/>
      <c r="X774" s="52"/>
      <c r="Y774" s="52"/>
      <c r="Z774" s="52"/>
      <c r="AA774" s="52"/>
      <c r="AB774" s="52"/>
      <c r="AC774" s="52"/>
      <c r="AD774" s="52"/>
      <c r="AE774" s="52"/>
      <c r="AF774" s="52"/>
      <c r="AG774" s="52"/>
      <c r="AH774" s="52"/>
      <c r="AI774" s="52"/>
      <c r="AJ774" s="52"/>
      <c r="AK774" s="290"/>
      <c r="AL774" s="52"/>
      <c r="AM774" s="213"/>
      <c r="AN774" s="291"/>
      <c r="AO774" s="52"/>
      <c r="AP774" s="52"/>
      <c r="AQ774" s="52"/>
      <c r="AR774" s="290"/>
      <c r="AS774" s="52"/>
      <c r="AT774" s="52"/>
      <c r="AU774" s="52"/>
      <c r="AV774" s="52"/>
      <c r="AW774" s="213"/>
      <c r="AX774" s="213"/>
      <c r="AY774" s="213"/>
      <c r="AZ774" s="213"/>
      <c r="BA774" s="213"/>
      <c r="BB774" s="213"/>
      <c r="BC774" s="213"/>
      <c r="BD774" s="213"/>
      <c r="BE774" s="213"/>
      <c r="BF774" s="213"/>
      <c r="BG774" s="213"/>
      <c r="BH774" s="213"/>
      <c r="BI774" s="213"/>
      <c r="BJ774" s="213"/>
    </row>
    <row r="775" spans="19:62" customFormat="1" ht="15.6">
      <c r="S775" s="52"/>
      <c r="T775" s="52"/>
      <c r="U775" s="52"/>
      <c r="V775" s="52"/>
      <c r="W775" s="52"/>
      <c r="X775" s="52"/>
      <c r="Y775" s="52"/>
      <c r="Z775" s="52"/>
      <c r="AA775" s="52"/>
      <c r="AB775" s="52"/>
      <c r="AC775" s="52"/>
      <c r="AD775" s="52"/>
      <c r="AE775" s="52"/>
      <c r="AF775" s="52"/>
      <c r="AG775" s="52"/>
      <c r="AH775" s="52"/>
      <c r="AI775" s="52"/>
      <c r="AJ775" s="52"/>
      <c r="AK775" s="290"/>
      <c r="AL775" s="52"/>
      <c r="AM775" s="213"/>
      <c r="AN775" s="291"/>
      <c r="AO775" s="52"/>
      <c r="AP775" s="52"/>
      <c r="AQ775" s="52"/>
      <c r="AR775" s="290"/>
      <c r="AS775" s="52"/>
      <c r="AT775" s="52"/>
      <c r="AU775" s="52"/>
      <c r="AV775" s="52"/>
      <c r="AW775" s="52"/>
      <c r="AX775" s="52"/>
      <c r="AY775" s="52"/>
      <c r="AZ775" s="52"/>
      <c r="BA775" s="52"/>
      <c r="BB775" s="52"/>
      <c r="BC775" s="52"/>
      <c r="BD775" s="52"/>
      <c r="BE775" s="52"/>
      <c r="BF775" s="52"/>
      <c r="BG775" s="52"/>
      <c r="BH775" s="52"/>
      <c r="BI775" s="52"/>
      <c r="BJ775" s="52"/>
    </row>
    <row r="776" spans="19:62" customFormat="1" ht="15.6">
      <c r="S776" s="52"/>
      <c r="T776" s="52"/>
      <c r="U776" s="52"/>
      <c r="V776" s="52"/>
      <c r="W776" s="52"/>
      <c r="X776" s="52"/>
      <c r="Y776" s="52"/>
      <c r="Z776" s="52"/>
      <c r="AA776" s="52"/>
      <c r="AB776" s="52"/>
      <c r="AC776" s="52"/>
      <c r="AD776" s="52"/>
      <c r="AE776" s="52"/>
      <c r="AF776" s="52"/>
      <c r="AG776" s="52"/>
      <c r="AH776" s="52"/>
      <c r="AI776" s="52"/>
      <c r="AJ776" s="52"/>
      <c r="AK776" s="290"/>
      <c r="AL776" s="52"/>
      <c r="AM776" s="213"/>
      <c r="AN776" s="291"/>
      <c r="AO776" s="52"/>
      <c r="AP776" s="52"/>
      <c r="AQ776" s="52"/>
      <c r="AR776" s="290"/>
      <c r="AS776" s="52"/>
      <c r="AT776" s="52"/>
      <c r="AU776" s="52"/>
      <c r="AV776" s="52"/>
      <c r="AW776" s="52"/>
      <c r="AX776" s="52"/>
      <c r="AY776" s="52"/>
      <c r="AZ776" s="52"/>
      <c r="BA776" s="52"/>
      <c r="BB776" s="52"/>
      <c r="BC776" s="52"/>
      <c r="BD776" s="52"/>
      <c r="BE776" s="52"/>
      <c r="BF776" s="52"/>
      <c r="BG776" s="52"/>
      <c r="BH776" s="52"/>
      <c r="BI776" s="52"/>
      <c r="BJ776" s="52"/>
    </row>
    <row r="777" spans="19:62" customFormat="1" ht="15.6">
      <c r="S777" s="52"/>
      <c r="T777" s="52"/>
      <c r="U777" s="52"/>
      <c r="V777" s="52"/>
      <c r="W777" s="52"/>
      <c r="X777" s="52"/>
      <c r="Y777" s="52"/>
      <c r="Z777" s="52"/>
      <c r="AA777" s="52"/>
      <c r="AB777" s="52"/>
      <c r="AC777" s="52"/>
      <c r="AD777" s="52"/>
      <c r="AE777" s="52"/>
      <c r="AF777" s="52"/>
      <c r="AG777" s="52"/>
      <c r="AH777" s="52"/>
      <c r="AI777" s="52"/>
      <c r="AJ777" s="52"/>
      <c r="AK777" s="290"/>
      <c r="AL777" s="52"/>
      <c r="AM777" s="213"/>
      <c r="AN777" s="291"/>
      <c r="AO777" s="52"/>
      <c r="AP777" s="52"/>
      <c r="AQ777" s="52"/>
      <c r="AR777" s="290"/>
      <c r="AS777" s="52"/>
      <c r="AT777" s="52"/>
      <c r="AU777" s="52"/>
      <c r="AV777" s="52"/>
      <c r="AW777" s="52"/>
      <c r="AX777" s="52"/>
      <c r="AY777" s="52"/>
      <c r="AZ777" s="52"/>
      <c r="BA777" s="52"/>
      <c r="BB777" s="52"/>
      <c r="BC777" s="52"/>
      <c r="BD777" s="52"/>
      <c r="BE777" s="52"/>
      <c r="BF777" s="52"/>
      <c r="BG777" s="52"/>
      <c r="BH777" s="52"/>
      <c r="BI777" s="52"/>
      <c r="BJ777" s="52"/>
    </row>
    <row r="778" spans="19:62" customFormat="1" ht="15.6">
      <c r="S778" s="52"/>
      <c r="T778" s="52"/>
      <c r="U778" s="52"/>
      <c r="V778" s="52"/>
      <c r="W778" s="52"/>
      <c r="X778" s="52"/>
      <c r="Y778" s="52"/>
      <c r="Z778" s="52"/>
      <c r="AA778" s="52"/>
      <c r="AB778" s="52"/>
      <c r="AC778" s="52"/>
      <c r="AD778" s="52"/>
      <c r="AE778" s="52"/>
      <c r="AF778" s="52"/>
      <c r="AG778" s="52"/>
      <c r="AH778" s="52"/>
      <c r="AI778" s="52"/>
      <c r="AJ778" s="52"/>
      <c r="AK778" s="290"/>
      <c r="AL778" s="52"/>
      <c r="AM778" s="213"/>
      <c r="AN778" s="291"/>
      <c r="AO778" s="52"/>
      <c r="AP778" s="52"/>
      <c r="AQ778" s="52"/>
      <c r="AR778" s="290"/>
      <c r="AS778" s="52"/>
      <c r="AT778" s="52"/>
      <c r="AU778" s="52"/>
      <c r="AV778" s="52"/>
      <c r="AW778" s="52"/>
      <c r="AX778" s="52"/>
      <c r="AY778" s="52"/>
      <c r="AZ778" s="52"/>
      <c r="BA778" s="52"/>
      <c r="BB778" s="52"/>
      <c r="BC778" s="52"/>
      <c r="BD778" s="52"/>
      <c r="BE778" s="52"/>
      <c r="BF778" s="52"/>
      <c r="BG778" s="52"/>
      <c r="BH778" s="52"/>
      <c r="BI778" s="52"/>
      <c r="BJ778" s="52"/>
    </row>
    <row r="779" spans="19:62" customFormat="1" ht="15.6">
      <c r="S779" s="52"/>
      <c r="T779" s="52"/>
      <c r="U779" s="52"/>
      <c r="V779" s="52"/>
      <c r="W779" s="52"/>
      <c r="X779" s="52"/>
      <c r="Y779" s="52"/>
      <c r="Z779" s="52"/>
      <c r="AA779" s="52"/>
      <c r="AB779" s="52"/>
      <c r="AC779" s="52"/>
      <c r="AD779" s="52"/>
      <c r="AE779" s="52"/>
      <c r="AF779" s="52"/>
      <c r="AG779" s="52"/>
      <c r="AH779" s="52"/>
      <c r="AI779" s="52"/>
      <c r="AJ779" s="52"/>
      <c r="AK779" s="290"/>
      <c r="AL779" s="52"/>
      <c r="AM779" s="213"/>
      <c r="AN779" s="291"/>
      <c r="AO779" s="52"/>
      <c r="AP779" s="52"/>
      <c r="AQ779" s="52"/>
      <c r="AR779" s="290"/>
      <c r="AS779" s="52"/>
      <c r="AT779" s="52"/>
      <c r="AU779" s="52"/>
      <c r="AV779" s="52"/>
      <c r="AW779" s="52"/>
      <c r="AX779" s="52"/>
      <c r="AY779" s="52"/>
      <c r="AZ779" s="52"/>
      <c r="BA779" s="52"/>
      <c r="BB779" s="52"/>
      <c r="BC779" s="52"/>
      <c r="BD779" s="52"/>
      <c r="BE779" s="52"/>
      <c r="BF779" s="52"/>
      <c r="BG779" s="52"/>
      <c r="BH779" s="52"/>
      <c r="BI779" s="52"/>
      <c r="BJ779" s="52"/>
    </row>
    <row r="780" spans="19:62" customFormat="1" ht="15.6">
      <c r="S780" s="52"/>
      <c r="T780" s="52"/>
      <c r="U780" s="52"/>
      <c r="V780" s="52"/>
      <c r="W780" s="52"/>
      <c r="X780" s="52"/>
      <c r="Y780" s="52"/>
      <c r="Z780" s="52"/>
      <c r="AA780" s="52"/>
      <c r="AB780" s="52"/>
      <c r="AC780" s="52"/>
      <c r="AD780" s="52"/>
      <c r="AE780" s="52"/>
      <c r="AF780" s="52"/>
      <c r="AG780" s="52"/>
      <c r="AH780" s="52"/>
      <c r="AI780" s="52"/>
      <c r="AJ780" s="52"/>
      <c r="AK780" s="290"/>
      <c r="AL780" s="52"/>
      <c r="AM780" s="213"/>
      <c r="AN780" s="291"/>
      <c r="AO780" s="52"/>
      <c r="AP780" s="52"/>
      <c r="AQ780" s="52"/>
      <c r="AR780" s="290"/>
      <c r="AS780" s="52"/>
      <c r="AT780" s="52"/>
      <c r="AU780" s="52"/>
      <c r="AV780" s="52"/>
      <c r="AW780" s="52"/>
      <c r="AX780" s="52"/>
      <c r="AY780" s="52"/>
      <c r="AZ780" s="52"/>
      <c r="BA780" s="52"/>
      <c r="BB780" s="52"/>
      <c r="BC780" s="52"/>
      <c r="BD780" s="52"/>
      <c r="BE780" s="52"/>
      <c r="BF780" s="52"/>
      <c r="BG780" s="52"/>
      <c r="BH780" s="52"/>
      <c r="BI780" s="52"/>
      <c r="BJ780" s="52"/>
    </row>
    <row r="781" spans="19:62" customFormat="1" ht="15.6">
      <c r="AM781" s="213"/>
      <c r="AN781" s="291"/>
    </row>
    <row r="782" spans="19:62" customFormat="1" ht="15.6">
      <c r="AM782" s="213"/>
      <c r="AN782" s="291"/>
    </row>
    <row r="783" spans="19:62" customFormat="1" ht="15.6">
      <c r="AM783" s="213"/>
      <c r="AN783" s="291"/>
    </row>
    <row r="784" spans="19:62" customFormat="1" ht="15.6">
      <c r="AM784" s="213"/>
      <c r="AN784" s="291"/>
    </row>
    <row r="785" spans="39:40" customFormat="1" ht="15.6">
      <c r="AM785" s="213"/>
      <c r="AN785" s="291"/>
    </row>
    <row r="786" spans="39:40" customFormat="1" ht="15.6">
      <c r="AM786" s="213"/>
      <c r="AN786" s="291"/>
    </row>
    <row r="787" spans="39:40" customFormat="1" ht="15.6">
      <c r="AM787" s="213"/>
      <c r="AN787" s="291"/>
    </row>
    <row r="788" spans="39:40" customFormat="1" ht="15.6">
      <c r="AM788" s="213"/>
      <c r="AN788" s="291"/>
    </row>
    <row r="789" spans="39:40" customFormat="1" ht="15.6">
      <c r="AM789" s="213"/>
      <c r="AN789" s="291"/>
    </row>
    <row r="790" spans="39:40" customFormat="1" ht="15.6">
      <c r="AM790" s="213"/>
      <c r="AN790" s="291"/>
    </row>
    <row r="791" spans="39:40" customFormat="1" ht="15.6">
      <c r="AM791" s="213"/>
      <c r="AN791" s="291"/>
    </row>
    <row r="792" spans="39:40" customFormat="1" ht="15.6">
      <c r="AM792" s="213"/>
      <c r="AN792" s="291"/>
    </row>
    <row r="793" spans="39:40" customFormat="1" ht="15.6">
      <c r="AM793" s="213"/>
      <c r="AN793" s="291"/>
    </row>
    <row r="794" spans="39:40" customFormat="1" ht="15.6">
      <c r="AM794" s="213"/>
      <c r="AN794" s="291"/>
    </row>
    <row r="795" spans="39:40" customFormat="1" ht="15.6">
      <c r="AM795" s="213"/>
      <c r="AN795" s="291"/>
    </row>
    <row r="796" spans="39:40" customFormat="1" ht="15.6">
      <c r="AM796" s="213"/>
      <c r="AN796" s="291"/>
    </row>
    <row r="797" spans="39:40" customFormat="1" ht="15.6">
      <c r="AM797" s="213"/>
      <c r="AN797" s="291"/>
    </row>
    <row r="798" spans="39:40" customFormat="1" ht="15.6">
      <c r="AM798" s="213"/>
      <c r="AN798" s="291"/>
    </row>
    <row r="799" spans="39:40" customFormat="1" ht="15.6">
      <c r="AM799" s="213"/>
      <c r="AN799" s="291"/>
    </row>
    <row r="800" spans="39:40" customFormat="1" ht="15.6">
      <c r="AM800" s="213"/>
      <c r="AN800" s="291"/>
    </row>
    <row r="801" spans="39:40" customFormat="1" ht="15.6">
      <c r="AM801" s="213"/>
      <c r="AN801" s="291"/>
    </row>
    <row r="802" spans="39:40" customFormat="1" ht="15.6">
      <c r="AM802" s="213"/>
      <c r="AN802" s="291"/>
    </row>
    <row r="803" spans="39:40" customFormat="1" ht="15.6">
      <c r="AM803" s="213"/>
      <c r="AN803" s="291"/>
    </row>
    <row r="804" spans="39:40" customFormat="1" ht="15.6">
      <c r="AM804" s="213"/>
      <c r="AN804" s="291"/>
    </row>
    <row r="805" spans="39:40" customFormat="1" ht="15.6">
      <c r="AM805" s="213"/>
      <c r="AN805" s="291"/>
    </row>
    <row r="806" spans="39:40" customFormat="1" ht="15.6">
      <c r="AM806" s="213"/>
      <c r="AN806" s="291"/>
    </row>
    <row r="807" spans="39:40" customFormat="1" ht="15.6">
      <c r="AM807" s="213"/>
      <c r="AN807" s="291"/>
    </row>
    <row r="808" spans="39:40" customFormat="1" ht="15.6">
      <c r="AM808" s="213"/>
      <c r="AN808" s="291"/>
    </row>
    <row r="809" spans="39:40" customFormat="1" ht="15.6">
      <c r="AM809" s="213"/>
      <c r="AN809" s="291"/>
    </row>
    <row r="810" spans="39:40" customFormat="1" ht="15.6">
      <c r="AM810" s="213"/>
      <c r="AN810" s="291"/>
    </row>
    <row r="811" spans="39:40" customFormat="1" ht="15.6">
      <c r="AM811" s="213"/>
      <c r="AN811" s="291"/>
    </row>
    <row r="812" spans="39:40" customFormat="1" ht="15.6">
      <c r="AM812" s="213"/>
      <c r="AN812" s="291"/>
    </row>
    <row r="813" spans="39:40" customFormat="1" ht="15.6">
      <c r="AM813" s="213"/>
      <c r="AN813" s="291"/>
    </row>
    <row r="814" spans="39:40" customFormat="1" ht="15.6">
      <c r="AM814" s="213"/>
      <c r="AN814" s="291"/>
    </row>
    <row r="815" spans="39:40" customFormat="1" ht="15.6">
      <c r="AM815" s="213"/>
      <c r="AN815" s="291"/>
    </row>
    <row r="816" spans="39:40" customFormat="1" ht="15.6">
      <c r="AM816" s="213"/>
      <c r="AN816" s="291"/>
    </row>
    <row r="817" spans="36:40" customFormat="1" ht="15.6">
      <c r="AM817" s="213"/>
      <c r="AN817" s="291"/>
    </row>
    <row r="818" spans="36:40" customFormat="1" ht="15.6">
      <c r="AM818" s="213"/>
      <c r="AN818" s="291"/>
    </row>
    <row r="819" spans="36:40" customFormat="1" ht="15.6">
      <c r="AM819" s="213"/>
      <c r="AN819" s="291"/>
    </row>
    <row r="820" spans="36:40" customFormat="1" ht="15.6">
      <c r="AM820" s="213"/>
      <c r="AN820" s="291"/>
    </row>
    <row r="821" spans="36:40" customFormat="1" ht="15.6">
      <c r="AM821" s="213"/>
      <c r="AN821" s="291"/>
    </row>
    <row r="822" spans="36:40" customFormat="1" ht="15.6">
      <c r="AM822" s="213"/>
      <c r="AN822" s="291"/>
    </row>
    <row r="823" spans="36:40" customFormat="1" ht="15.6">
      <c r="AM823" s="213"/>
      <c r="AN823" s="291"/>
    </row>
    <row r="824" spans="36:40" customFormat="1" ht="15.6">
      <c r="AM824" s="213"/>
      <c r="AN824" s="291"/>
    </row>
    <row r="825" spans="36:40" customFormat="1" ht="15.6">
      <c r="AM825" s="213"/>
      <c r="AN825" s="291"/>
    </row>
    <row r="826" spans="36:40" customFormat="1" ht="15.6">
      <c r="AM826" s="213"/>
      <c r="AN826" s="291"/>
    </row>
    <row r="827" spans="36:40" customFormat="1" ht="15.6">
      <c r="AM827" s="213"/>
      <c r="AN827" s="291"/>
    </row>
    <row r="828" spans="36:40" customFormat="1" ht="15.6">
      <c r="AM828" s="213"/>
      <c r="AN828" s="291"/>
    </row>
    <row r="829" spans="36:40" customFormat="1" ht="15.6">
      <c r="AJ829" s="52"/>
      <c r="AK829" s="290"/>
      <c r="AL829" s="52"/>
      <c r="AM829" s="213"/>
      <c r="AN829" s="291"/>
    </row>
    <row r="830" spans="36:40" customFormat="1" ht="15.6">
      <c r="AJ830" s="52"/>
      <c r="AK830" s="290"/>
      <c r="AL830" s="52"/>
      <c r="AM830" s="213"/>
      <c r="AN830" s="291"/>
    </row>
    <row r="831" spans="36:40" customFormat="1" ht="15.6">
      <c r="AJ831" s="52"/>
      <c r="AK831" s="290"/>
      <c r="AL831" s="52"/>
      <c r="AM831" s="213"/>
      <c r="AN831" s="291"/>
    </row>
    <row r="832" spans="36:40" customFormat="1" ht="15.6">
      <c r="AJ832" s="52"/>
      <c r="AK832" s="290"/>
      <c r="AL832" s="52"/>
      <c r="AM832" s="213"/>
      <c r="AN832" s="291"/>
    </row>
    <row r="833" spans="36:40" customFormat="1" ht="15.6">
      <c r="AJ833" s="2"/>
      <c r="AK833" s="291"/>
      <c r="AL833" s="213"/>
      <c r="AM833" s="213"/>
      <c r="AN833" s="291"/>
    </row>
    <row r="834" spans="36:40" customFormat="1" ht="15.6">
      <c r="AJ834" s="2"/>
      <c r="AK834" s="291"/>
      <c r="AL834" s="213"/>
      <c r="AM834" s="213"/>
      <c r="AN834" s="291"/>
    </row>
    <row r="835" spans="36:40" customFormat="1" ht="15.6">
      <c r="AJ835" s="2"/>
      <c r="AK835" s="291"/>
      <c r="AL835" s="213"/>
      <c r="AM835" s="213"/>
      <c r="AN835" s="291"/>
    </row>
    <row r="836" spans="36:40" customFormat="1" ht="15.6">
      <c r="AJ836" s="2"/>
      <c r="AK836" s="291"/>
      <c r="AL836" s="213"/>
      <c r="AM836" s="213"/>
      <c r="AN836" s="291"/>
    </row>
    <row r="837" spans="36:40" customFormat="1" ht="15.6">
      <c r="AJ837" s="2"/>
      <c r="AK837" s="291"/>
      <c r="AL837" s="213"/>
      <c r="AM837" s="213"/>
      <c r="AN837" s="291"/>
    </row>
    <row r="838" spans="36:40" customFormat="1" ht="15.6">
      <c r="AJ838" s="2"/>
      <c r="AK838" s="291"/>
      <c r="AL838" s="213"/>
      <c r="AM838" s="213"/>
      <c r="AN838" s="291"/>
    </row>
    <row r="839" spans="36:40" customFormat="1" ht="15.6">
      <c r="AJ839" s="2"/>
      <c r="AK839" s="291"/>
      <c r="AL839" s="213"/>
      <c r="AM839" s="213"/>
      <c r="AN839" s="291"/>
    </row>
    <row r="840" spans="36:40" customFormat="1" ht="15.6">
      <c r="AJ840" s="2"/>
      <c r="AK840" s="291"/>
      <c r="AL840" s="213"/>
      <c r="AM840" s="213"/>
      <c r="AN840" s="291"/>
    </row>
    <row r="841" spans="36:40" customFormat="1" ht="15.6">
      <c r="AJ841" s="2"/>
      <c r="AK841" s="291"/>
      <c r="AL841" s="213"/>
      <c r="AM841" s="213"/>
      <c r="AN841" s="291"/>
    </row>
    <row r="842" spans="36:40" customFormat="1" ht="15.6">
      <c r="AJ842" s="2"/>
      <c r="AK842" s="291"/>
      <c r="AL842" s="213"/>
      <c r="AM842" s="213"/>
      <c r="AN842" s="291"/>
    </row>
    <row r="843" spans="36:40" customFormat="1" ht="15.6">
      <c r="AJ843" s="2"/>
      <c r="AK843" s="291"/>
      <c r="AL843" s="213"/>
      <c r="AM843" s="213"/>
      <c r="AN843" s="291"/>
    </row>
    <row r="844" spans="36:40" customFormat="1" ht="15.6">
      <c r="AJ844" s="2"/>
      <c r="AK844" s="291"/>
      <c r="AL844" s="213"/>
      <c r="AM844" s="213"/>
      <c r="AN844" s="291"/>
    </row>
    <row r="845" spans="36:40" customFormat="1" ht="15.6">
      <c r="AJ845" s="2"/>
      <c r="AK845" s="291"/>
      <c r="AL845" s="213"/>
      <c r="AM845" s="213"/>
      <c r="AN845" s="291"/>
    </row>
    <row r="846" spans="36:40" customFormat="1" ht="15.6">
      <c r="AJ846" s="2"/>
      <c r="AK846" s="291"/>
      <c r="AL846" s="213"/>
      <c r="AM846" s="213"/>
      <c r="AN846" s="291"/>
    </row>
    <row r="847" spans="36:40" customFormat="1" ht="15.6">
      <c r="AJ847" s="2"/>
      <c r="AK847" s="291"/>
      <c r="AL847" s="213"/>
      <c r="AM847" s="213"/>
      <c r="AN847" s="291"/>
    </row>
    <row r="848" spans="36:40" customFormat="1" ht="15.6">
      <c r="AJ848" s="2"/>
      <c r="AK848" s="291"/>
      <c r="AL848" s="213"/>
      <c r="AM848" s="213"/>
      <c r="AN848" s="291"/>
    </row>
    <row r="849" spans="36:40" customFormat="1" ht="15.6">
      <c r="AJ849" s="2"/>
      <c r="AK849" s="291"/>
      <c r="AL849" s="213"/>
      <c r="AM849" s="213"/>
      <c r="AN849" s="291"/>
    </row>
    <row r="850" spans="36:40" customFormat="1" ht="15.6">
      <c r="AJ850" s="2"/>
      <c r="AK850" s="291"/>
      <c r="AL850" s="213"/>
      <c r="AM850" s="213"/>
      <c r="AN850" s="291"/>
    </row>
    <row r="851" spans="36:40" customFormat="1" ht="15.6">
      <c r="AJ851" s="2"/>
      <c r="AK851" s="291"/>
      <c r="AL851" s="213"/>
      <c r="AM851" s="213"/>
      <c r="AN851" s="291"/>
    </row>
    <row r="852" spans="36:40" customFormat="1" ht="15.6">
      <c r="AJ852" s="2"/>
      <c r="AK852" s="291"/>
      <c r="AL852" s="213"/>
      <c r="AM852" s="213"/>
      <c r="AN852" s="291"/>
    </row>
    <row r="853" spans="36:40" customFormat="1" ht="15.6">
      <c r="AJ853" s="2"/>
      <c r="AK853" s="291"/>
      <c r="AL853" s="213"/>
      <c r="AM853" s="213"/>
      <c r="AN853" s="291"/>
    </row>
    <row r="854" spans="36:40" customFormat="1" ht="15.6">
      <c r="AJ854" s="2"/>
      <c r="AK854" s="291"/>
      <c r="AL854" s="213"/>
      <c r="AM854" s="213"/>
      <c r="AN854" s="291"/>
    </row>
    <row r="855" spans="36:40" customFormat="1" ht="15.6">
      <c r="AJ855" s="2"/>
      <c r="AK855" s="291"/>
      <c r="AL855" s="213"/>
      <c r="AM855" s="213"/>
      <c r="AN855" s="291"/>
    </row>
    <row r="856" spans="36:40" customFormat="1" ht="15.6">
      <c r="AJ856" s="2"/>
      <c r="AK856" s="291"/>
      <c r="AL856" s="213"/>
      <c r="AM856" s="213"/>
      <c r="AN856" s="291"/>
    </row>
    <row r="857" spans="36:40" customFormat="1" ht="15.6">
      <c r="AJ857" s="2"/>
      <c r="AK857" s="291"/>
      <c r="AL857" s="213"/>
      <c r="AM857" s="213"/>
      <c r="AN857" s="291"/>
    </row>
    <row r="858" spans="36:40" customFormat="1" ht="15.6">
      <c r="AJ858" s="2"/>
      <c r="AK858" s="291"/>
      <c r="AL858" s="213"/>
      <c r="AM858" s="213"/>
      <c r="AN858" s="291"/>
    </row>
    <row r="859" spans="36:40" customFormat="1" ht="15.6">
      <c r="AJ859" s="2"/>
      <c r="AK859" s="291"/>
      <c r="AL859" s="213"/>
      <c r="AM859" s="213"/>
      <c r="AN859" s="291"/>
    </row>
    <row r="860" spans="36:40" customFormat="1" ht="15.6">
      <c r="AJ860" s="2"/>
      <c r="AK860" s="291"/>
      <c r="AL860" s="213"/>
      <c r="AM860" s="213"/>
      <c r="AN860" s="291"/>
    </row>
    <row r="861" spans="36:40" customFormat="1" ht="15.6">
      <c r="AJ861" s="2"/>
      <c r="AK861" s="291"/>
      <c r="AL861" s="213"/>
      <c r="AM861" s="213"/>
      <c r="AN861" s="291"/>
    </row>
    <row r="862" spans="36:40" customFormat="1" ht="15.6">
      <c r="AJ862" s="2"/>
      <c r="AK862" s="291"/>
      <c r="AL862" s="213"/>
      <c r="AM862" s="213"/>
      <c r="AN862" s="291"/>
    </row>
    <row r="863" spans="36:40" customFormat="1" ht="15.6">
      <c r="AJ863" s="2"/>
      <c r="AK863" s="291"/>
      <c r="AL863" s="213"/>
      <c r="AM863" s="213"/>
      <c r="AN863" s="291"/>
    </row>
    <row r="864" spans="36:40" customFormat="1" ht="15.6">
      <c r="AJ864" s="2"/>
      <c r="AK864" s="291"/>
      <c r="AL864" s="213"/>
      <c r="AM864" s="213"/>
      <c r="AN864" s="291"/>
    </row>
    <row r="865" spans="36:40" customFormat="1" ht="15.6">
      <c r="AJ865" s="2"/>
      <c r="AK865" s="291"/>
      <c r="AL865" s="213"/>
      <c r="AM865" s="52"/>
      <c r="AN865" s="290"/>
    </row>
    <row r="866" spans="36:40" customFormat="1" ht="15.6">
      <c r="AJ866" s="2"/>
      <c r="AK866" s="291"/>
      <c r="AL866" s="213"/>
      <c r="AM866" s="52"/>
      <c r="AN866" s="290"/>
    </row>
    <row r="867" spans="36:40" customFormat="1" ht="15.6">
      <c r="AJ867" s="2"/>
      <c r="AK867" s="291"/>
      <c r="AL867" s="213"/>
      <c r="AM867" s="52"/>
      <c r="AN867" s="290"/>
    </row>
    <row r="868" spans="36:40" customFormat="1" ht="15.6">
      <c r="AJ868" s="2"/>
      <c r="AK868" s="291"/>
      <c r="AL868" s="213"/>
      <c r="AM868" s="52"/>
      <c r="AN868" s="290"/>
    </row>
    <row r="869" spans="36:40" customFormat="1" ht="15.6">
      <c r="AJ869" s="2"/>
      <c r="AK869" s="291"/>
      <c r="AL869" s="213"/>
      <c r="AM869" s="52"/>
      <c r="AN869" s="290"/>
    </row>
    <row r="870" spans="36:40" customFormat="1" ht="15.6">
      <c r="AJ870" s="2"/>
      <c r="AK870" s="291"/>
      <c r="AL870" s="213"/>
      <c r="AM870" s="52"/>
      <c r="AN870" s="290"/>
    </row>
    <row r="871" spans="36:40" customFormat="1" ht="15.6">
      <c r="AJ871" s="2"/>
      <c r="AK871" s="291"/>
      <c r="AL871" s="213"/>
      <c r="AM871" s="52"/>
      <c r="AN871" s="290"/>
    </row>
    <row r="872" spans="36:40" customFormat="1" ht="15.6">
      <c r="AJ872" s="2"/>
      <c r="AK872" s="291"/>
      <c r="AL872" s="213"/>
      <c r="AM872" s="52"/>
      <c r="AN872" s="290"/>
    </row>
    <row r="873" spans="36:40" customFormat="1" ht="15.6">
      <c r="AJ873" s="2"/>
      <c r="AK873" s="291"/>
      <c r="AL873" s="213"/>
      <c r="AM873" s="52"/>
      <c r="AN873" s="290"/>
    </row>
    <row r="874" spans="36:40" customFormat="1" ht="15.6">
      <c r="AJ874" s="2"/>
      <c r="AK874" s="291"/>
      <c r="AL874" s="213"/>
      <c r="AM874" s="52"/>
      <c r="AN874" s="290"/>
    </row>
    <row r="875" spans="36:40" customFormat="1" ht="15.6">
      <c r="AJ875" s="2"/>
      <c r="AK875" s="291"/>
      <c r="AL875" s="213"/>
      <c r="AM875" s="52"/>
      <c r="AN875" s="290"/>
    </row>
    <row r="876" spans="36:40" customFormat="1" ht="15.6">
      <c r="AJ876" s="2"/>
      <c r="AK876" s="291"/>
      <c r="AL876" s="213"/>
      <c r="AM876" s="52"/>
      <c r="AN876" s="290"/>
    </row>
    <row r="877" spans="36:40" customFormat="1" ht="15.6">
      <c r="AJ877" s="2"/>
      <c r="AK877" s="291"/>
      <c r="AL877" s="213"/>
    </row>
    <row r="878" spans="36:40" customFormat="1" ht="15.6">
      <c r="AJ878" s="2"/>
      <c r="AK878" s="291"/>
      <c r="AL878" s="213"/>
    </row>
    <row r="879" spans="36:40" customFormat="1" ht="15.6">
      <c r="AJ879" s="2"/>
      <c r="AK879" s="291"/>
      <c r="AL879" s="213"/>
    </row>
    <row r="880" spans="36:40" customFormat="1" ht="15.6">
      <c r="AJ880" s="2"/>
      <c r="AK880" s="291"/>
      <c r="AL880" s="213"/>
    </row>
    <row r="881" spans="36:38" customFormat="1" ht="15.6">
      <c r="AJ881" s="2"/>
      <c r="AK881" s="291"/>
      <c r="AL881" s="213"/>
    </row>
    <row r="882" spans="36:38" customFormat="1" ht="15.6">
      <c r="AJ882" s="2"/>
      <c r="AK882" s="291"/>
      <c r="AL882" s="213"/>
    </row>
    <row r="883" spans="36:38" customFormat="1" ht="15.6">
      <c r="AJ883" s="2"/>
      <c r="AK883" s="291"/>
      <c r="AL883" s="213"/>
    </row>
    <row r="884" spans="36:38" customFormat="1" ht="15.6">
      <c r="AJ884" s="2"/>
      <c r="AK884" s="291"/>
      <c r="AL884" s="213"/>
    </row>
    <row r="885" spans="36:38" customFormat="1" ht="15.6">
      <c r="AJ885" s="2"/>
      <c r="AK885" s="291"/>
      <c r="AL885" s="213"/>
    </row>
    <row r="886" spans="36:38" customFormat="1" ht="15.6">
      <c r="AJ886" s="2"/>
      <c r="AK886" s="291"/>
      <c r="AL886" s="213"/>
    </row>
    <row r="887" spans="36:38" customFormat="1" ht="15.6">
      <c r="AJ887" s="2"/>
      <c r="AK887" s="291"/>
      <c r="AL887" s="213"/>
    </row>
    <row r="888" spans="36:38" customFormat="1" ht="15.6">
      <c r="AJ888" s="2"/>
      <c r="AK888" s="291"/>
      <c r="AL888" s="213"/>
    </row>
    <row r="889" spans="36:38" customFormat="1" ht="15.6">
      <c r="AJ889" s="2"/>
      <c r="AK889" s="291"/>
      <c r="AL889" s="213"/>
    </row>
    <row r="890" spans="36:38" customFormat="1" ht="15.6">
      <c r="AJ890" s="2"/>
      <c r="AK890" s="291"/>
      <c r="AL890" s="213"/>
    </row>
    <row r="891" spans="36:38" customFormat="1" ht="15.6">
      <c r="AJ891" s="2"/>
      <c r="AK891" s="291"/>
      <c r="AL891" s="213"/>
    </row>
    <row r="892" spans="36:38" customFormat="1" ht="15.6">
      <c r="AJ892" s="2"/>
      <c r="AK892" s="291"/>
      <c r="AL892" s="213"/>
    </row>
    <row r="893" spans="36:38" customFormat="1" ht="15.6">
      <c r="AJ893" s="2"/>
      <c r="AK893" s="291"/>
      <c r="AL893" s="213"/>
    </row>
    <row r="894" spans="36:38" customFormat="1" ht="15.6">
      <c r="AJ894" s="2"/>
      <c r="AK894" s="291"/>
      <c r="AL894" s="213"/>
    </row>
    <row r="895" spans="36:38" customFormat="1" ht="15.6">
      <c r="AJ895" s="2"/>
      <c r="AK895" s="291"/>
      <c r="AL895" s="213"/>
    </row>
    <row r="896" spans="36:38" customFormat="1" ht="15.6">
      <c r="AJ896" s="2"/>
      <c r="AK896" s="291"/>
      <c r="AL896" s="213"/>
    </row>
    <row r="897" spans="36:38" customFormat="1" ht="15.6">
      <c r="AJ897" s="2"/>
      <c r="AK897" s="291"/>
      <c r="AL897" s="213"/>
    </row>
    <row r="898" spans="36:38" customFormat="1" ht="15.6">
      <c r="AJ898" s="2"/>
      <c r="AK898" s="291"/>
      <c r="AL898" s="213"/>
    </row>
    <row r="899" spans="36:38" customFormat="1" ht="15.6">
      <c r="AJ899" s="2"/>
      <c r="AK899" s="291"/>
      <c r="AL899" s="213"/>
    </row>
    <row r="900" spans="36:38" customFormat="1" ht="15.6">
      <c r="AJ900" s="2"/>
      <c r="AK900" s="291"/>
      <c r="AL900" s="213"/>
    </row>
    <row r="901" spans="36:38" customFormat="1" ht="15.6">
      <c r="AJ901" s="2"/>
      <c r="AK901" s="291"/>
      <c r="AL901" s="213"/>
    </row>
    <row r="902" spans="36:38" customFormat="1" ht="15.6">
      <c r="AJ902" s="2"/>
      <c r="AK902" s="291"/>
      <c r="AL902" s="213"/>
    </row>
    <row r="903" spans="36:38" customFormat="1" ht="15.6">
      <c r="AJ903" s="2"/>
      <c r="AK903" s="291"/>
      <c r="AL903" s="213"/>
    </row>
    <row r="904" spans="36:38" customFormat="1" ht="15.6">
      <c r="AJ904" s="2"/>
      <c r="AK904" s="291"/>
      <c r="AL904" s="213"/>
    </row>
    <row r="905" spans="36:38" customFormat="1" ht="15.6">
      <c r="AJ905" s="2"/>
      <c r="AK905" s="291"/>
      <c r="AL905" s="213"/>
    </row>
    <row r="906" spans="36:38" customFormat="1" ht="15.6">
      <c r="AJ906" s="2"/>
      <c r="AK906" s="291"/>
      <c r="AL906" s="213"/>
    </row>
    <row r="907" spans="36:38" customFormat="1" ht="15.6">
      <c r="AJ907" s="2"/>
      <c r="AK907" s="291"/>
      <c r="AL907" s="213"/>
    </row>
    <row r="908" spans="36:38" customFormat="1" ht="15.6">
      <c r="AJ908" s="2"/>
      <c r="AK908" s="291"/>
      <c r="AL908" s="213"/>
    </row>
    <row r="909" spans="36:38" customFormat="1" ht="15.6">
      <c r="AJ909" s="2"/>
      <c r="AK909" s="291"/>
      <c r="AL909" s="213"/>
    </row>
    <row r="910" spans="36:38" customFormat="1" ht="15.6">
      <c r="AJ910" s="2"/>
      <c r="AK910" s="291"/>
      <c r="AL910" s="213"/>
    </row>
    <row r="911" spans="36:38" customFormat="1" ht="15.6">
      <c r="AJ911" s="2"/>
      <c r="AK911" s="291"/>
      <c r="AL911" s="213"/>
    </row>
    <row r="912" spans="36:38" customFormat="1" ht="15.6">
      <c r="AJ912" s="2"/>
      <c r="AK912" s="291"/>
      <c r="AL912" s="213"/>
    </row>
    <row r="913" spans="36:40" customFormat="1" ht="15.6">
      <c r="AJ913" s="2"/>
      <c r="AK913" s="291"/>
      <c r="AL913" s="213"/>
    </row>
    <row r="914" spans="36:40" customFormat="1" ht="15.6">
      <c r="AJ914" s="2"/>
      <c r="AK914" s="291"/>
      <c r="AL914" s="213"/>
    </row>
    <row r="915" spans="36:40" customFormat="1" ht="15.6">
      <c r="AJ915" s="2"/>
      <c r="AK915" s="291"/>
      <c r="AL915" s="213"/>
    </row>
    <row r="916" spans="36:40" customFormat="1" ht="15.6">
      <c r="AJ916" s="2"/>
      <c r="AK916" s="291"/>
      <c r="AL916" s="213"/>
    </row>
    <row r="917" spans="36:40" customFormat="1" ht="15.6">
      <c r="AJ917" s="2"/>
      <c r="AK917" s="291"/>
      <c r="AL917" s="213"/>
    </row>
    <row r="918" spans="36:40" customFormat="1" ht="15.6">
      <c r="AJ918" s="2"/>
      <c r="AK918" s="291"/>
      <c r="AL918" s="213"/>
    </row>
    <row r="919" spans="36:40" customFormat="1" ht="15.6">
      <c r="AJ919" s="2"/>
      <c r="AK919" s="291"/>
      <c r="AL919" s="213"/>
    </row>
    <row r="920" spans="36:40" customFormat="1" ht="15.6">
      <c r="AJ920" s="2"/>
      <c r="AK920" s="291"/>
      <c r="AL920" s="213"/>
    </row>
    <row r="921" spans="36:40" customFormat="1" ht="15.6">
      <c r="AJ921" s="2"/>
      <c r="AK921" s="291"/>
      <c r="AL921" s="213"/>
    </row>
    <row r="922" spans="36:40" customFormat="1" ht="15.6">
      <c r="AJ922" s="2"/>
      <c r="AK922" s="291"/>
      <c r="AL922" s="213"/>
    </row>
    <row r="923" spans="36:40" customFormat="1" ht="15.6">
      <c r="AJ923" s="2"/>
      <c r="AK923" s="291"/>
      <c r="AL923" s="213"/>
    </row>
    <row r="924" spans="36:40" customFormat="1" ht="15.6">
      <c r="AJ924" s="2"/>
      <c r="AK924" s="291"/>
      <c r="AL924" s="213"/>
    </row>
    <row r="925" spans="36:40" customFormat="1" ht="15.6">
      <c r="AJ925" s="2"/>
      <c r="AK925" s="291"/>
      <c r="AL925" s="213"/>
      <c r="AM925" s="52"/>
      <c r="AN925" s="290"/>
    </row>
    <row r="926" spans="36:40" customFormat="1" ht="15.6">
      <c r="AJ926" s="2"/>
      <c r="AK926" s="291"/>
      <c r="AL926" s="213"/>
      <c r="AM926" s="52"/>
      <c r="AN926" s="290"/>
    </row>
    <row r="927" spans="36:40" customFormat="1" ht="15.6">
      <c r="AJ927" s="2"/>
      <c r="AK927" s="291"/>
      <c r="AL927" s="213"/>
      <c r="AM927" s="52"/>
      <c r="AN927" s="290"/>
    </row>
    <row r="928" spans="36:40" customFormat="1" ht="15.6">
      <c r="AJ928" s="2"/>
      <c r="AK928" s="291"/>
      <c r="AL928" s="213"/>
      <c r="AM928" s="52"/>
      <c r="AN928" s="290"/>
    </row>
    <row r="929" spans="36:40" customFormat="1" ht="15.6">
      <c r="AJ929" s="2"/>
      <c r="AK929" s="291"/>
      <c r="AL929" s="213"/>
      <c r="AM929" s="52"/>
      <c r="AN929" s="290"/>
    </row>
    <row r="930" spans="36:40" customFormat="1" ht="15.6">
      <c r="AJ930" s="2"/>
      <c r="AK930" s="291"/>
      <c r="AL930" s="213"/>
      <c r="AM930" s="52"/>
      <c r="AN930" s="290"/>
    </row>
    <row r="931" spans="36:40" customFormat="1" ht="15.6">
      <c r="AJ931" s="2"/>
      <c r="AK931" s="291"/>
      <c r="AL931" s="213"/>
      <c r="AM931" s="52"/>
      <c r="AN931" s="290"/>
    </row>
    <row r="932" spans="36:40" customFormat="1" ht="15.6">
      <c r="AJ932" s="2"/>
      <c r="AK932" s="291"/>
      <c r="AL932" s="213"/>
      <c r="AM932" s="52"/>
      <c r="AN932" s="290"/>
    </row>
    <row r="933" spans="36:40" customFormat="1" ht="15.6">
      <c r="AJ933" s="2"/>
      <c r="AK933" s="291"/>
      <c r="AL933" s="213"/>
      <c r="AM933" s="213"/>
      <c r="AN933" s="291"/>
    </row>
    <row r="934" spans="36:40" customFormat="1" ht="15.6">
      <c r="AJ934" s="2"/>
      <c r="AK934" s="291"/>
      <c r="AL934" s="213"/>
      <c r="AM934" s="213"/>
      <c r="AN934" s="291"/>
    </row>
    <row r="935" spans="36:40" customFormat="1" ht="15.6">
      <c r="AJ935" s="2"/>
      <c r="AK935" s="291"/>
      <c r="AL935" s="213"/>
      <c r="AM935" s="213"/>
      <c r="AN935" s="291"/>
    </row>
    <row r="936" spans="36:40" customFormat="1" ht="15.6">
      <c r="AJ936" s="2"/>
      <c r="AK936" s="291"/>
      <c r="AL936" s="213"/>
      <c r="AM936" s="213"/>
      <c r="AN936" s="291"/>
    </row>
    <row r="937" spans="36:40" customFormat="1" ht="15.6">
      <c r="AJ937" s="2"/>
      <c r="AK937" s="291"/>
      <c r="AL937" s="213"/>
      <c r="AM937" s="213"/>
      <c r="AN937" s="291"/>
    </row>
    <row r="938" spans="36:40" customFormat="1" ht="15.6">
      <c r="AJ938" s="2"/>
      <c r="AK938" s="291"/>
      <c r="AL938" s="213"/>
      <c r="AM938" s="213"/>
      <c r="AN938" s="291"/>
    </row>
    <row r="939" spans="36:40" customFormat="1" ht="15.6">
      <c r="AJ939" s="2"/>
      <c r="AK939" s="291"/>
      <c r="AL939" s="213"/>
      <c r="AM939" s="213"/>
      <c r="AN939" s="291"/>
    </row>
    <row r="940" spans="36:40" customFormat="1" ht="15.6">
      <c r="AJ940" s="2"/>
      <c r="AK940" s="291"/>
      <c r="AL940" s="213"/>
      <c r="AM940" s="213"/>
      <c r="AN940" s="291"/>
    </row>
    <row r="941" spans="36:40" customFormat="1" ht="15.6">
      <c r="AJ941" s="2"/>
      <c r="AK941" s="291"/>
      <c r="AL941" s="213"/>
      <c r="AM941" s="213"/>
      <c r="AN941" s="291"/>
    </row>
    <row r="942" spans="36:40" customFormat="1" ht="15.6">
      <c r="AJ942" s="2"/>
      <c r="AK942" s="291"/>
      <c r="AL942" s="213"/>
      <c r="AM942" s="213"/>
      <c r="AN942" s="291"/>
    </row>
    <row r="943" spans="36:40" customFormat="1" ht="15.6">
      <c r="AJ943" s="2"/>
      <c r="AK943" s="291"/>
      <c r="AL943" s="213"/>
      <c r="AM943" s="213"/>
      <c r="AN943" s="291"/>
    </row>
    <row r="944" spans="36:40" customFormat="1" ht="15.6">
      <c r="AJ944" s="2"/>
      <c r="AK944" s="291"/>
      <c r="AL944" s="213"/>
      <c r="AM944" s="213"/>
      <c r="AN944" s="291"/>
    </row>
    <row r="945" spans="36:40" customFormat="1" ht="15.6">
      <c r="AJ945" s="2"/>
      <c r="AK945" s="291"/>
      <c r="AL945" s="213"/>
      <c r="AM945" s="213"/>
      <c r="AN945" s="291"/>
    </row>
    <row r="946" spans="36:40" customFormat="1" ht="15.6">
      <c r="AJ946" s="2"/>
      <c r="AK946" s="291"/>
      <c r="AL946" s="52"/>
      <c r="AM946" s="213"/>
      <c r="AN946" s="291"/>
    </row>
    <row r="947" spans="36:40" customFormat="1" ht="15.6">
      <c r="AJ947" s="2"/>
      <c r="AK947" s="291"/>
      <c r="AL947" s="52"/>
      <c r="AM947" s="213"/>
      <c r="AN947" s="291"/>
    </row>
    <row r="948" spans="36:40" customFormat="1" ht="15.6">
      <c r="AJ948" s="2"/>
      <c r="AK948" s="291"/>
      <c r="AL948" s="52"/>
      <c r="AM948" s="213"/>
      <c r="AN948" s="291"/>
    </row>
    <row r="949" spans="36:40" customFormat="1" ht="15.6">
      <c r="AJ949" s="2"/>
      <c r="AK949" s="291"/>
      <c r="AL949" s="52"/>
      <c r="AM949" s="213"/>
      <c r="AN949" s="291"/>
    </row>
    <row r="950" spans="36:40" customFormat="1" ht="15.6">
      <c r="AJ950" s="2"/>
      <c r="AK950" s="291"/>
      <c r="AL950" s="52"/>
      <c r="AM950" s="213"/>
      <c r="AN950" s="291"/>
    </row>
    <row r="951" spans="36:40" customFormat="1" ht="15.6">
      <c r="AJ951" s="2"/>
      <c r="AK951" s="291"/>
      <c r="AL951" s="52"/>
      <c r="AM951" s="213"/>
      <c r="AN951" s="291"/>
    </row>
    <row r="952" spans="36:40" customFormat="1" ht="15.6">
      <c r="AJ952" s="52"/>
      <c r="AK952" s="290"/>
      <c r="AL952" s="52"/>
      <c r="AM952" s="213"/>
      <c r="AN952" s="291"/>
    </row>
    <row r="953" spans="36:40" customFormat="1" ht="15.75" customHeight="1">
      <c r="AJ953" s="52"/>
      <c r="AK953" s="290"/>
      <c r="AL953" s="52"/>
      <c r="AM953" s="213"/>
      <c r="AN953" s="291"/>
    </row>
    <row r="954" spans="36:40" customFormat="1" ht="15.6">
      <c r="AJ954" s="52"/>
      <c r="AK954" s="290"/>
      <c r="AL954" s="52"/>
      <c r="AM954" s="213"/>
      <c r="AN954" s="291"/>
    </row>
    <row r="955" spans="36:40" customFormat="1" ht="15.6">
      <c r="AJ955" s="52"/>
      <c r="AK955" s="290"/>
      <c r="AL955" s="52"/>
      <c r="AM955" s="213"/>
      <c r="AN955" s="291"/>
    </row>
    <row r="956" spans="36:40" customFormat="1" ht="15.6">
      <c r="AJ956" s="52"/>
      <c r="AK956" s="290"/>
      <c r="AL956" s="52"/>
      <c r="AM956" s="213"/>
      <c r="AN956" s="291"/>
    </row>
    <row r="957" spans="36:40" customFormat="1" ht="15.6">
      <c r="AM957" s="213"/>
      <c r="AN957" s="291"/>
    </row>
    <row r="958" spans="36:40" customFormat="1" ht="15.6">
      <c r="AM958" s="213"/>
      <c r="AN958" s="291"/>
    </row>
    <row r="959" spans="36:40" customFormat="1" ht="15.6">
      <c r="AM959" s="213"/>
      <c r="AN959" s="291"/>
    </row>
    <row r="960" spans="36:40" customFormat="1" ht="15.6">
      <c r="AM960" s="213"/>
      <c r="AN960" s="291"/>
    </row>
    <row r="961" spans="39:40" customFormat="1" ht="15.6">
      <c r="AM961" s="213"/>
      <c r="AN961" s="291"/>
    </row>
    <row r="962" spans="39:40" customFormat="1" ht="15.6">
      <c r="AM962" s="213"/>
      <c r="AN962" s="291"/>
    </row>
    <row r="963" spans="39:40" customFormat="1" ht="15.6">
      <c r="AM963" s="213"/>
      <c r="AN963" s="291"/>
    </row>
    <row r="964" spans="39:40" customFormat="1" ht="15.6">
      <c r="AM964" s="213"/>
      <c r="AN964" s="291"/>
    </row>
    <row r="965" spans="39:40" customFormat="1" ht="15.6">
      <c r="AM965" s="213"/>
      <c r="AN965" s="291"/>
    </row>
    <row r="966" spans="39:40" customFormat="1" ht="15.6">
      <c r="AM966" s="213"/>
      <c r="AN966" s="291"/>
    </row>
    <row r="967" spans="39:40" customFormat="1" ht="15.6">
      <c r="AM967" s="213"/>
      <c r="AN967" s="291"/>
    </row>
    <row r="968" spans="39:40" customFormat="1" ht="15.6">
      <c r="AM968" s="213"/>
      <c r="AN968" s="291"/>
    </row>
    <row r="969" spans="39:40" customFormat="1" ht="15.6">
      <c r="AM969" s="213"/>
      <c r="AN969" s="291"/>
    </row>
    <row r="970" spans="39:40" customFormat="1" ht="15.6">
      <c r="AM970" s="213"/>
      <c r="AN970" s="291"/>
    </row>
    <row r="971" spans="39:40" customFormat="1" ht="15.6">
      <c r="AM971" s="213"/>
      <c r="AN971" s="291"/>
    </row>
    <row r="972" spans="39:40" customFormat="1" ht="15.6">
      <c r="AM972" s="213"/>
      <c r="AN972" s="291"/>
    </row>
    <row r="973" spans="39:40" customFormat="1" ht="15.6">
      <c r="AM973" s="213"/>
      <c r="AN973" s="291"/>
    </row>
    <row r="974" spans="39:40" customFormat="1" ht="15.6">
      <c r="AM974" s="213"/>
      <c r="AN974" s="291"/>
    </row>
    <row r="975" spans="39:40" customFormat="1" ht="15.6">
      <c r="AM975" s="213"/>
      <c r="AN975" s="291"/>
    </row>
    <row r="976" spans="39:40" customFormat="1" ht="15.6">
      <c r="AM976" s="213"/>
      <c r="AN976" s="291"/>
    </row>
    <row r="977" spans="39:40" customFormat="1" ht="15.6">
      <c r="AM977" s="213"/>
      <c r="AN977" s="291"/>
    </row>
    <row r="978" spans="39:40" customFormat="1" ht="15.6">
      <c r="AM978" s="213"/>
      <c r="AN978" s="291"/>
    </row>
    <row r="979" spans="39:40" customFormat="1" ht="15.6">
      <c r="AM979" s="213"/>
      <c r="AN979" s="291"/>
    </row>
    <row r="980" spans="39:40" customFormat="1" ht="15.6">
      <c r="AM980" s="213"/>
      <c r="AN980" s="291"/>
    </row>
    <row r="981" spans="39:40" customFormat="1" ht="15.6">
      <c r="AM981" s="213"/>
      <c r="AN981" s="291"/>
    </row>
    <row r="982" spans="39:40" customFormat="1" ht="15.6">
      <c r="AM982" s="213"/>
      <c r="AN982" s="291"/>
    </row>
    <row r="983" spans="39:40" customFormat="1" ht="15.6">
      <c r="AM983" s="213"/>
      <c r="AN983" s="291"/>
    </row>
    <row r="984" spans="39:40" customFormat="1" ht="15.6">
      <c r="AM984" s="213"/>
      <c r="AN984" s="291"/>
    </row>
    <row r="985" spans="39:40" customFormat="1" ht="15.6">
      <c r="AM985" s="213"/>
      <c r="AN985" s="291"/>
    </row>
    <row r="986" spans="39:40" customFormat="1" ht="15.6">
      <c r="AM986" s="213"/>
      <c r="AN986" s="291"/>
    </row>
    <row r="987" spans="39:40" customFormat="1" ht="15.6">
      <c r="AM987" s="213"/>
      <c r="AN987" s="291"/>
    </row>
    <row r="988" spans="39:40" customFormat="1" ht="15.6">
      <c r="AM988" s="213"/>
      <c r="AN988" s="291"/>
    </row>
    <row r="989" spans="39:40" customFormat="1" ht="15.6">
      <c r="AM989" s="213"/>
      <c r="AN989" s="291"/>
    </row>
    <row r="990" spans="39:40" customFormat="1" ht="15.6">
      <c r="AM990" s="213"/>
      <c r="AN990" s="291"/>
    </row>
    <row r="991" spans="39:40" customFormat="1" ht="15.6">
      <c r="AM991" s="213"/>
      <c r="AN991" s="291"/>
    </row>
    <row r="992" spans="39:40" customFormat="1" ht="15.6">
      <c r="AM992" s="213"/>
      <c r="AN992" s="291"/>
    </row>
    <row r="993" spans="39:40" customFormat="1" ht="15.6">
      <c r="AM993" s="213"/>
      <c r="AN993" s="291"/>
    </row>
    <row r="994" spans="39:40" customFormat="1" ht="15.6">
      <c r="AM994" s="213"/>
      <c r="AN994" s="291"/>
    </row>
    <row r="995" spans="39:40" customFormat="1" ht="15.6">
      <c r="AM995" s="213"/>
      <c r="AN995" s="291"/>
    </row>
    <row r="996" spans="39:40" customFormat="1" ht="15.6">
      <c r="AM996" s="213"/>
      <c r="AN996" s="291"/>
    </row>
    <row r="997" spans="39:40" customFormat="1" ht="15.6">
      <c r="AM997" s="213"/>
      <c r="AN997" s="291"/>
    </row>
    <row r="998" spans="39:40" customFormat="1" ht="15.6">
      <c r="AM998" s="213"/>
      <c r="AN998" s="291"/>
    </row>
    <row r="999" spans="39:40" customFormat="1" ht="15.6">
      <c r="AM999" s="213"/>
      <c r="AN999" s="291"/>
    </row>
    <row r="1000" spans="39:40" customFormat="1" ht="15.6">
      <c r="AM1000" s="213"/>
      <c r="AN1000" s="291"/>
    </row>
    <row r="1001" spans="39:40" customFormat="1" ht="15.6">
      <c r="AM1001" s="213"/>
      <c r="AN1001" s="291"/>
    </row>
    <row r="1002" spans="39:40" customFormat="1" ht="15.6">
      <c r="AM1002" s="213"/>
      <c r="AN1002" s="291"/>
    </row>
    <row r="1003" spans="39:40" customFormat="1" ht="15.6">
      <c r="AM1003" s="213"/>
      <c r="AN1003" s="291"/>
    </row>
    <row r="1004" spans="39:40" customFormat="1" ht="15.6">
      <c r="AM1004" s="213"/>
      <c r="AN1004" s="291"/>
    </row>
    <row r="1005" spans="39:40" customFormat="1" ht="15.6">
      <c r="AM1005" s="213"/>
      <c r="AN1005" s="291"/>
    </row>
    <row r="1006" spans="39:40" customFormat="1" ht="15.6">
      <c r="AM1006" s="213"/>
      <c r="AN1006" s="291"/>
    </row>
    <row r="1007" spans="39:40" customFormat="1" ht="15.6">
      <c r="AM1007" s="213"/>
      <c r="AN1007" s="291"/>
    </row>
    <row r="1008" spans="39:40" customFormat="1" ht="15.6">
      <c r="AM1008" s="213"/>
      <c r="AN1008" s="291"/>
    </row>
    <row r="1009" spans="39:40" customFormat="1" ht="15.6">
      <c r="AM1009" s="213"/>
      <c r="AN1009" s="291"/>
    </row>
    <row r="1010" spans="39:40" customFormat="1" ht="15.6">
      <c r="AM1010" s="213"/>
      <c r="AN1010" s="291"/>
    </row>
    <row r="1011" spans="39:40" customFormat="1" ht="15.6">
      <c r="AM1011" s="213"/>
      <c r="AN1011" s="291"/>
    </row>
    <row r="1012" spans="39:40" customFormat="1" ht="15.6">
      <c r="AM1012" s="213"/>
      <c r="AN1012" s="291"/>
    </row>
    <row r="1013" spans="39:40" customFormat="1" ht="15.6">
      <c r="AM1013" s="213"/>
      <c r="AN1013" s="291"/>
    </row>
    <row r="1014" spans="39:40" customFormat="1" ht="15.6">
      <c r="AM1014" s="213"/>
      <c r="AN1014" s="291"/>
    </row>
    <row r="1015" spans="39:40" customFormat="1" ht="15.6">
      <c r="AM1015" s="213"/>
      <c r="AN1015" s="291"/>
    </row>
    <row r="1016" spans="39:40" customFormat="1" ht="15.6">
      <c r="AM1016" s="213"/>
      <c r="AN1016" s="291"/>
    </row>
    <row r="1017" spans="39:40" customFormat="1" ht="15.6">
      <c r="AM1017" s="213"/>
      <c r="AN1017" s="291"/>
    </row>
    <row r="1018" spans="39:40" customFormat="1" ht="15.6">
      <c r="AM1018" s="213"/>
      <c r="AN1018" s="291"/>
    </row>
    <row r="1019" spans="39:40" customFormat="1" ht="15.6">
      <c r="AM1019" s="213"/>
      <c r="AN1019" s="291"/>
    </row>
    <row r="1020" spans="39:40" customFormat="1" ht="15.6">
      <c r="AM1020" s="213"/>
      <c r="AN1020" s="291"/>
    </row>
    <row r="1021" spans="39:40" customFormat="1" ht="15.6">
      <c r="AM1021" s="213"/>
      <c r="AN1021" s="291"/>
    </row>
    <row r="1022" spans="39:40" customFormat="1" ht="15.6">
      <c r="AM1022" s="213"/>
      <c r="AN1022" s="291"/>
    </row>
    <row r="1023" spans="39:40" customFormat="1" ht="15.6">
      <c r="AM1023" s="213"/>
      <c r="AN1023" s="291"/>
    </row>
    <row r="1024" spans="39:40" customFormat="1" ht="15.6">
      <c r="AM1024" s="213"/>
      <c r="AN1024" s="291"/>
    </row>
    <row r="1025" spans="39:40" customFormat="1" ht="15.6">
      <c r="AM1025" s="213"/>
      <c r="AN1025" s="291"/>
    </row>
    <row r="1026" spans="39:40" customFormat="1" ht="15.6">
      <c r="AM1026" s="213"/>
      <c r="AN1026" s="291"/>
    </row>
    <row r="1027" spans="39:40" customFormat="1" ht="15.6">
      <c r="AM1027" s="213"/>
      <c r="AN1027" s="291"/>
    </row>
    <row r="1028" spans="39:40" customFormat="1" ht="15.6">
      <c r="AM1028" s="213"/>
      <c r="AN1028" s="291"/>
    </row>
    <row r="1029" spans="39:40" customFormat="1" ht="15.6">
      <c r="AM1029" s="213"/>
      <c r="AN1029" s="291"/>
    </row>
    <row r="1030" spans="39:40" customFormat="1" ht="15.6">
      <c r="AM1030" s="213"/>
      <c r="AN1030" s="291"/>
    </row>
    <row r="1031" spans="39:40" customFormat="1" ht="15.6">
      <c r="AM1031" s="213"/>
      <c r="AN1031" s="291"/>
    </row>
    <row r="1032" spans="39:40" customFormat="1" ht="15.6">
      <c r="AM1032" s="213"/>
      <c r="AN1032" s="291"/>
    </row>
    <row r="1033" spans="39:40" customFormat="1" ht="15.6">
      <c r="AM1033" s="213"/>
      <c r="AN1033" s="291"/>
    </row>
    <row r="1034" spans="39:40" customFormat="1" ht="15.6">
      <c r="AM1034" s="213"/>
      <c r="AN1034" s="291"/>
    </row>
    <row r="1035" spans="39:40" customFormat="1" ht="15.6">
      <c r="AM1035" s="213"/>
      <c r="AN1035" s="291"/>
    </row>
    <row r="1036" spans="39:40" customFormat="1" ht="15.6">
      <c r="AM1036" s="213"/>
      <c r="AN1036" s="291"/>
    </row>
    <row r="1037" spans="39:40" customFormat="1" ht="15.6">
      <c r="AM1037" s="213"/>
      <c r="AN1037" s="291"/>
    </row>
    <row r="1038" spans="39:40" customFormat="1" ht="15.6">
      <c r="AM1038" s="213"/>
      <c r="AN1038" s="291"/>
    </row>
    <row r="1039" spans="39:40" customFormat="1" ht="15.6">
      <c r="AM1039" s="213"/>
      <c r="AN1039" s="291"/>
    </row>
    <row r="1040" spans="39:40" customFormat="1" ht="15.6">
      <c r="AM1040" s="213"/>
      <c r="AN1040" s="291"/>
    </row>
    <row r="1041" spans="39:40" customFormat="1" ht="15.6">
      <c r="AM1041" s="213"/>
      <c r="AN1041" s="291"/>
    </row>
    <row r="1042" spans="39:40" customFormat="1" ht="15.6">
      <c r="AM1042" s="213"/>
      <c r="AN1042" s="291"/>
    </row>
    <row r="1043" spans="39:40" customFormat="1" ht="15.6">
      <c r="AM1043" s="213"/>
      <c r="AN1043" s="291"/>
    </row>
    <row r="1044" spans="39:40" customFormat="1" ht="15.6">
      <c r="AM1044" s="213"/>
      <c r="AN1044" s="291"/>
    </row>
    <row r="1045" spans="39:40" customFormat="1" ht="15.6">
      <c r="AM1045" s="213"/>
      <c r="AN1045" s="291"/>
    </row>
    <row r="1046" spans="39:40" customFormat="1" ht="15.6">
      <c r="AM1046" s="213"/>
      <c r="AN1046" s="291"/>
    </row>
    <row r="1047" spans="39:40" customFormat="1" ht="15.6">
      <c r="AM1047" s="213"/>
      <c r="AN1047" s="291"/>
    </row>
  </sheetData>
  <sheetProtection sheet="1"/>
  <mergeCells count="72">
    <mergeCell ref="B620:P620"/>
    <mergeCell ref="D509:O509"/>
    <mergeCell ref="D518:P518"/>
    <mergeCell ref="D527:P527"/>
    <mergeCell ref="D539:O539"/>
    <mergeCell ref="D548:P548"/>
    <mergeCell ref="D557:P557"/>
    <mergeCell ref="D568:O568"/>
    <mergeCell ref="D583:P583"/>
    <mergeCell ref="D593:O593"/>
    <mergeCell ref="D597:P597"/>
    <mergeCell ref="D601:P601"/>
    <mergeCell ref="D498:P498"/>
    <mergeCell ref="D385:O385"/>
    <mergeCell ref="D395:P395"/>
    <mergeCell ref="D405:P405"/>
    <mergeCell ref="D416:O416"/>
    <mergeCell ref="D426:P426"/>
    <mergeCell ref="D436:P436"/>
    <mergeCell ref="D448:O448"/>
    <mergeCell ref="D458:P458"/>
    <mergeCell ref="D468:P468"/>
    <mergeCell ref="D480:O480"/>
    <mergeCell ref="D489:P489"/>
    <mergeCell ref="D373:P373"/>
    <mergeCell ref="D273:P273"/>
    <mergeCell ref="D281:P281"/>
    <mergeCell ref="D291:O291"/>
    <mergeCell ref="D299:P299"/>
    <mergeCell ref="D307:P307"/>
    <mergeCell ref="D317:O317"/>
    <mergeCell ref="D325:P325"/>
    <mergeCell ref="D333:P333"/>
    <mergeCell ref="A351:P351"/>
    <mergeCell ref="D353:O353"/>
    <mergeCell ref="D363:P363"/>
    <mergeCell ref="D265:O265"/>
    <mergeCell ref="D169:P169"/>
    <mergeCell ref="D177:P177"/>
    <mergeCell ref="D187:O187"/>
    <mergeCell ref="D195:P195"/>
    <mergeCell ref="D203:P203"/>
    <mergeCell ref="D213:O213"/>
    <mergeCell ref="D221:P221"/>
    <mergeCell ref="D229:P229"/>
    <mergeCell ref="D239:O239"/>
    <mergeCell ref="D247:P247"/>
    <mergeCell ref="D255:P255"/>
    <mergeCell ref="D161:O161"/>
    <mergeCell ref="D49:P49"/>
    <mergeCell ref="D59:P59"/>
    <mergeCell ref="D71:O71"/>
    <mergeCell ref="D81:P81"/>
    <mergeCell ref="D91:P91"/>
    <mergeCell ref="D103:O103"/>
    <mergeCell ref="D113:P113"/>
    <mergeCell ref="D123:P123"/>
    <mergeCell ref="D135:O135"/>
    <mergeCell ref="D143:P143"/>
    <mergeCell ref="D151:P151"/>
    <mergeCell ref="D7:O7"/>
    <mergeCell ref="W8:AH8"/>
    <mergeCell ref="D17:P17"/>
    <mergeCell ref="D27:P27"/>
    <mergeCell ref="D39:O39"/>
    <mergeCell ref="W39:AH39"/>
    <mergeCell ref="AP5:AV5"/>
    <mergeCell ref="A1:Q1"/>
    <mergeCell ref="A2:Q2"/>
    <mergeCell ref="A4:P4"/>
    <mergeCell ref="U5:AH5"/>
    <mergeCell ref="AJ5:AN5"/>
  </mergeCells>
  <printOptions horizontalCentered="1"/>
  <pageMargins left="0.5" right="0.5" top="0.8" bottom="0.5" header="0.5" footer="0.25"/>
  <pageSetup scale="43" fitToHeight="2" orientation="landscape" r:id="rId1"/>
  <headerFooter alignWithMargins="0">
    <oddHeader>&amp;C&amp;"Times New Roman,Bold"&amp;16ATTACHMENT D, Page &amp;P of &amp;N
EVERGY</oddHeader>
    <oddFooter>&amp;R&amp;1#&amp;"Calibri"&amp;10&amp;KA80000Internal Use Only</oddFooter>
  </headerFooter>
  <rowBreaks count="11" manualBreakCount="11">
    <brk id="58" max="16383" man="1"/>
    <brk id="112" max="16383" man="1"/>
    <brk id="150" max="16383" man="1"/>
    <brk id="209" max="16383" man="1"/>
    <brk id="262" max="16383" man="1"/>
    <brk id="306" max="16383" man="1"/>
    <brk id="350" max="16383" man="1"/>
    <brk id="404" max="16383" man="1"/>
    <brk id="466" max="16383" man="1"/>
    <brk id="526" max="16383" man="1"/>
    <brk id="582" max="16383" man="1"/>
  </rowBreaks>
  <colBreaks count="1" manualBreakCount="1">
    <brk id="1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E10"/>
  <sheetViews>
    <sheetView view="pageBreakPreview" zoomScale="90" zoomScaleNormal="100" zoomScaleSheetLayoutView="90" workbookViewId="0">
      <selection sqref="A1:D1"/>
    </sheetView>
  </sheetViews>
  <sheetFormatPr defaultColWidth="9.109375" defaultRowHeight="13.2"/>
  <cols>
    <col min="1" max="1" width="60.6640625" style="125" customWidth="1"/>
    <col min="2" max="4" width="20.6640625" style="125" customWidth="1"/>
    <col min="5" max="5" width="14" style="125" bestFit="1" customWidth="1"/>
    <col min="6" max="16384" width="9.109375" style="125"/>
  </cols>
  <sheetData>
    <row r="1" spans="1:5" ht="20.399999999999999">
      <c r="A1" s="1730" t="s">
        <v>589</v>
      </c>
      <c r="B1" s="1730"/>
      <c r="C1" s="1730"/>
      <c r="D1" s="1730"/>
    </row>
    <row r="2" spans="1:5" ht="21">
      <c r="A2" s="1784" t="s">
        <v>2611</v>
      </c>
      <c r="B2" s="1785"/>
      <c r="C2" s="1785"/>
      <c r="D2" s="1785"/>
    </row>
    <row r="3" spans="1:5" ht="19.2">
      <c r="A3" s="1731"/>
      <c r="B3" s="1731"/>
      <c r="C3" s="1731"/>
      <c r="D3" s="1731"/>
    </row>
    <row r="4" spans="1:5" ht="15.6">
      <c r="A4" s="2"/>
      <c r="B4" s="2"/>
      <c r="C4" s="2"/>
      <c r="D4" s="2"/>
      <c r="E4" s="55"/>
    </row>
    <row r="5" spans="1:5" s="19" customFormat="1" ht="18">
      <c r="A5" s="185" t="s">
        <v>1590</v>
      </c>
      <c r="B5" s="185"/>
      <c r="C5" s="1293">
        <v>5772700</v>
      </c>
      <c r="D5" s="370" t="s">
        <v>980</v>
      </c>
      <c r="E5" s="371"/>
    </row>
    <row r="6" spans="1:5" ht="15.6">
      <c r="A6" s="2"/>
      <c r="B6" s="2"/>
      <c r="C6" s="2"/>
      <c r="D6" s="2"/>
    </row>
    <row r="7" spans="1:5" ht="15.6">
      <c r="A7" s="2"/>
      <c r="B7" s="2"/>
      <c r="C7" s="2"/>
      <c r="D7" s="2"/>
    </row>
    <row r="8" spans="1:5" ht="15.6">
      <c r="A8" s="1683" t="s">
        <v>2612</v>
      </c>
      <c r="B8" s="1683"/>
      <c r="C8" s="1683"/>
      <c r="D8" s="1683"/>
    </row>
    <row r="9" spans="1:5" s="380" customFormat="1" ht="15.6">
      <c r="A9" s="163"/>
      <c r="B9" s="163"/>
      <c r="C9" s="163"/>
      <c r="D9" s="163"/>
    </row>
    <row r="10" spans="1:5" s="380" customFormat="1" ht="15.6">
      <c r="A10" s="163"/>
      <c r="B10" s="163"/>
      <c r="C10" s="163"/>
    </row>
  </sheetData>
  <sheetProtection sheet="1"/>
  <mergeCells count="4">
    <mergeCell ref="A1:D1"/>
    <mergeCell ref="A3:D3"/>
    <mergeCell ref="A8:D8"/>
    <mergeCell ref="A2:D2"/>
  </mergeCells>
  <phoneticPr fontId="26" type="noConversion"/>
  <printOptions horizontalCentered="1"/>
  <pageMargins left="0.75" right="0.75" top="0.9" bottom="1" header="0.5" footer="0.5"/>
  <pageSetup scale="74" orientation="portrait" r:id="rId1"/>
  <headerFooter alignWithMargins="0">
    <oddHeader>&amp;C&amp;"Times New Roman,Bold"&amp;16ATTACHMENT D, Page &amp;P of &amp;N
EVERGY</oddHeader>
    <oddFooter>&amp;R&amp;1#&amp;"Calibri"&amp;10&amp;KA80000Internal Use Only</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K62"/>
  <sheetViews>
    <sheetView view="pageBreakPreview" zoomScale="90" zoomScaleNormal="100" zoomScaleSheetLayoutView="90" workbookViewId="0">
      <selection sqref="A1:F1"/>
    </sheetView>
  </sheetViews>
  <sheetFormatPr defaultColWidth="9.109375" defaultRowHeight="13.2"/>
  <cols>
    <col min="1" max="1" width="6.6640625" style="19" customWidth="1"/>
    <col min="2" max="2" width="40.6640625" style="19" customWidth="1"/>
    <col min="3" max="3" width="4.6640625" style="19" customWidth="1"/>
    <col min="4" max="4" width="32.6640625" style="19" customWidth="1"/>
    <col min="5" max="5" width="4.6640625" style="19" customWidth="1"/>
    <col min="6" max="6" width="32.6640625" style="19" customWidth="1"/>
    <col min="7" max="16384" width="9.109375" style="19"/>
  </cols>
  <sheetData>
    <row r="1" spans="1:11" s="125" customFormat="1" ht="39" customHeight="1">
      <c r="A1" s="1786" t="s">
        <v>1595</v>
      </c>
      <c r="B1" s="1786"/>
      <c r="C1" s="1786"/>
      <c r="D1" s="1786"/>
      <c r="E1" s="1786"/>
      <c r="F1" s="1786"/>
    </row>
    <row r="2" spans="1:11" s="125" customFormat="1" ht="19.2">
      <c r="A2" s="1725" t="str">
        <f>' Net Monthly Bill'!A2:B2</f>
        <v>For Contract Year Beginning June 1, 2024, Based on 2023 Data</v>
      </c>
      <c r="B2" s="1725"/>
      <c r="C2" s="1725"/>
      <c r="D2" s="1725"/>
      <c r="E2" s="1725"/>
      <c r="F2" s="1725"/>
    </row>
    <row r="3" spans="1:11" s="125" customFormat="1" ht="17.399999999999999">
      <c r="A3" s="641"/>
      <c r="B3" s="641"/>
      <c r="C3" s="641"/>
      <c r="D3" s="641"/>
      <c r="E3" s="641"/>
      <c r="F3" s="641"/>
    </row>
    <row r="4" spans="1:11" s="125" customFormat="1" ht="17.399999999999999">
      <c r="A4" s="641"/>
      <c r="B4" s="641"/>
      <c r="C4" s="641"/>
      <c r="D4" s="641"/>
      <c r="E4" s="641"/>
      <c r="F4" s="641"/>
    </row>
    <row r="5" spans="1:11" ht="18">
      <c r="A5" s="642"/>
      <c r="B5" s="642"/>
      <c r="C5" s="642"/>
      <c r="D5" s="910" t="s">
        <v>1243</v>
      </c>
      <c r="E5" s="910"/>
      <c r="F5" s="642"/>
      <c r="G5" s="2"/>
      <c r="H5" s="2"/>
      <c r="I5" s="2"/>
      <c r="J5" s="1"/>
      <c r="K5" s="1"/>
    </row>
    <row r="6" spans="1:11" ht="20.399999999999999">
      <c r="A6" s="911" t="s">
        <v>494</v>
      </c>
      <c r="B6" s="912" t="s">
        <v>1198</v>
      </c>
      <c r="C6" s="912"/>
      <c r="D6" s="912" t="s">
        <v>1199</v>
      </c>
      <c r="E6" s="912"/>
      <c r="F6" s="912" t="s">
        <v>1200</v>
      </c>
      <c r="G6" s="2"/>
      <c r="H6" s="2"/>
      <c r="I6" s="2"/>
      <c r="J6" s="1"/>
      <c r="K6" s="1"/>
    </row>
    <row r="7" spans="1:11" ht="16.2" customHeight="1">
      <c r="A7" s="923">
        <v>1</v>
      </c>
      <c r="B7" s="480" t="s">
        <v>1060</v>
      </c>
      <c r="C7" s="574"/>
      <c r="D7" s="1612">
        <v>32122.956105734549</v>
      </c>
      <c r="E7" s="1613"/>
      <c r="F7" s="1614">
        <v>14645.98259775</v>
      </c>
      <c r="G7" s="2"/>
      <c r="H7" s="2"/>
      <c r="I7" s="2"/>
      <c r="J7" s="1"/>
      <c r="K7" s="1"/>
    </row>
    <row r="8" spans="1:11" ht="16.2" customHeight="1">
      <c r="A8" s="923">
        <v>2</v>
      </c>
      <c r="B8" s="480" t="s">
        <v>1067</v>
      </c>
      <c r="C8" s="574"/>
      <c r="D8" s="1612">
        <v>4481.7683322149378</v>
      </c>
      <c r="E8" s="1613"/>
      <c r="F8" s="1615">
        <v>2044.3250442880001</v>
      </c>
      <c r="G8" s="2"/>
      <c r="H8" s="2"/>
      <c r="I8" s="2"/>
      <c r="J8" s="1"/>
      <c r="K8" s="1"/>
    </row>
    <row r="9" spans="1:11" ht="16.2" customHeight="1">
      <c r="A9" s="923">
        <v>3</v>
      </c>
      <c r="B9" s="480" t="s">
        <v>1657</v>
      </c>
      <c r="C9" s="574"/>
      <c r="D9" s="1612">
        <v>43983.11574953793</v>
      </c>
      <c r="E9" s="1613"/>
      <c r="F9" s="1615">
        <v>19956.049844649999</v>
      </c>
      <c r="G9" s="2"/>
      <c r="H9" s="2"/>
      <c r="I9" s="2"/>
      <c r="J9" s="1"/>
      <c r="K9" s="1"/>
    </row>
    <row r="10" spans="1:11" ht="16.2" customHeight="1">
      <c r="A10" s="923">
        <v>4</v>
      </c>
      <c r="B10" s="480" t="s">
        <v>1622</v>
      </c>
      <c r="C10" s="574"/>
      <c r="D10" s="1612">
        <v>16456.710844589445</v>
      </c>
      <c r="E10" s="1613"/>
      <c r="F10" s="1615">
        <v>7505.712118333</v>
      </c>
      <c r="G10" s="2"/>
      <c r="H10" s="2"/>
      <c r="I10" s="2"/>
      <c r="J10" s="1"/>
      <c r="K10" s="1"/>
    </row>
    <row r="11" spans="1:11" ht="16.2" customHeight="1">
      <c r="A11" s="923">
        <v>5</v>
      </c>
      <c r="B11" s="480" t="s">
        <v>1623</v>
      </c>
      <c r="C11" s="574"/>
      <c r="D11" s="1612">
        <v>11244.458900887828</v>
      </c>
      <c r="E11" s="1613"/>
      <c r="F11" s="1615">
        <v>5156.0229703360001</v>
      </c>
      <c r="G11" s="2"/>
      <c r="H11" s="2"/>
      <c r="I11" s="2"/>
      <c r="J11" s="1"/>
      <c r="K11" s="1"/>
    </row>
    <row r="12" spans="1:11" ht="16.2" customHeight="1">
      <c r="A12" s="923">
        <v>6</v>
      </c>
      <c r="B12" s="480" t="s">
        <v>1808</v>
      </c>
      <c r="C12" s="574"/>
      <c r="D12" s="1612">
        <v>0</v>
      </c>
      <c r="E12" s="1613"/>
      <c r="F12" s="1615">
        <v>0</v>
      </c>
      <c r="G12" s="2"/>
      <c r="H12" s="2"/>
      <c r="I12" s="2"/>
      <c r="J12" s="1"/>
      <c r="K12" s="1"/>
    </row>
    <row r="13" spans="1:11" ht="16.2" customHeight="1">
      <c r="A13" s="923">
        <v>7</v>
      </c>
      <c r="B13" s="480" t="s">
        <v>1065</v>
      </c>
      <c r="C13" s="574"/>
      <c r="D13" s="1612">
        <v>1759376.2994602972</v>
      </c>
      <c r="E13" s="1613"/>
      <c r="F13" s="1615">
        <v>812355.81004807795</v>
      </c>
      <c r="G13" s="2"/>
      <c r="H13" s="2"/>
      <c r="I13" s="2"/>
      <c r="J13" s="1"/>
      <c r="K13" s="1"/>
    </row>
    <row r="14" spans="1:11" ht="16.2" customHeight="1">
      <c r="A14" s="923">
        <v>8</v>
      </c>
      <c r="B14" s="480" t="s">
        <v>3056</v>
      </c>
      <c r="C14" s="574"/>
      <c r="D14" s="1612">
        <v>331340.03459061275</v>
      </c>
      <c r="E14" s="1613"/>
      <c r="F14" s="1615">
        <v>150319.21434855001</v>
      </c>
      <c r="G14" s="2"/>
      <c r="H14" s="2"/>
      <c r="I14" s="2"/>
      <c r="J14" s="1"/>
      <c r="K14" s="1"/>
    </row>
    <row r="15" spans="1:11" ht="16.2" customHeight="1">
      <c r="A15" s="923">
        <v>9</v>
      </c>
      <c r="B15" s="480" t="s">
        <v>1905</v>
      </c>
      <c r="C15" s="574"/>
      <c r="D15" s="1612">
        <v>4950.0248272111439</v>
      </c>
      <c r="E15" s="1613"/>
      <c r="F15" s="1615">
        <v>2228.7701496169998</v>
      </c>
      <c r="G15" s="2"/>
      <c r="H15" s="2"/>
      <c r="I15" s="2"/>
      <c r="J15" s="1"/>
      <c r="K15" s="1"/>
    </row>
    <row r="16" spans="1:11" ht="16.2" customHeight="1">
      <c r="A16" s="923">
        <v>10</v>
      </c>
      <c r="B16" s="480" t="s">
        <v>1624</v>
      </c>
      <c r="C16" s="574"/>
      <c r="D16" s="1612">
        <v>3075.0051886623564</v>
      </c>
      <c r="E16" s="1613"/>
      <c r="F16" s="1615">
        <v>1421.4747144810001</v>
      </c>
      <c r="G16" s="2"/>
      <c r="H16" s="2"/>
      <c r="I16" s="2"/>
      <c r="J16" s="1"/>
      <c r="K16" s="1"/>
    </row>
    <row r="17" spans="1:11" ht="16.2" customHeight="1">
      <c r="A17" s="923">
        <v>11</v>
      </c>
      <c r="B17" s="480" t="s">
        <v>1066</v>
      </c>
      <c r="C17" s="574"/>
      <c r="D17" s="1612">
        <v>5445.7558609251282</v>
      </c>
      <c r="E17" s="1613"/>
      <c r="F17" s="1615">
        <v>2488.6417204439999</v>
      </c>
      <c r="G17" s="2"/>
      <c r="H17" s="2"/>
      <c r="I17" s="2"/>
      <c r="J17" s="1"/>
      <c r="K17" s="1"/>
    </row>
    <row r="18" spans="1:11" ht="16.2" customHeight="1">
      <c r="A18" s="923">
        <v>12</v>
      </c>
      <c r="B18" s="480" t="s">
        <v>1667</v>
      </c>
      <c r="C18" s="574"/>
      <c r="D18" s="1612">
        <v>1978.1417701517946</v>
      </c>
      <c r="E18" s="1613"/>
      <c r="F18" s="1615">
        <v>900.17038807299991</v>
      </c>
      <c r="G18" s="2"/>
      <c r="H18" s="2"/>
      <c r="I18" s="2"/>
      <c r="J18" s="1"/>
      <c r="K18" s="1"/>
    </row>
    <row r="19" spans="1:11" ht="16.2" customHeight="1">
      <c r="A19" s="923">
        <v>13</v>
      </c>
      <c r="B19" s="480" t="s">
        <v>1625</v>
      </c>
      <c r="C19" s="574"/>
      <c r="D19" s="1612">
        <v>115126.72732222511</v>
      </c>
      <c r="E19" s="1616"/>
      <c r="F19" s="1615">
        <v>52299.480016324</v>
      </c>
      <c r="G19" s="2"/>
      <c r="H19" s="2"/>
      <c r="I19" s="2"/>
      <c r="J19" s="1"/>
      <c r="K19" s="1"/>
    </row>
    <row r="20" spans="1:11" ht="16.2" customHeight="1">
      <c r="A20" s="923">
        <v>14</v>
      </c>
      <c r="B20" s="480" t="s">
        <v>1061</v>
      </c>
      <c r="C20" s="574"/>
      <c r="D20" s="1617">
        <v>2456.0094094251222</v>
      </c>
      <c r="E20" s="1616"/>
      <c r="F20" s="1615">
        <v>1112.9074126099999</v>
      </c>
      <c r="G20" s="2"/>
      <c r="H20" s="2"/>
      <c r="I20" s="2"/>
      <c r="J20" s="1"/>
      <c r="K20" s="1"/>
    </row>
    <row r="21" spans="1:11" ht="16.2" customHeight="1">
      <c r="A21" s="923">
        <v>15</v>
      </c>
      <c r="B21" s="480" t="s">
        <v>1809</v>
      </c>
      <c r="C21" s="574"/>
      <c r="D21" s="1617">
        <v>8922.0484702917001</v>
      </c>
      <c r="E21" s="1616"/>
      <c r="F21" s="1615">
        <v>4087.6684084999997</v>
      </c>
      <c r="G21" s="2"/>
      <c r="H21" s="2"/>
      <c r="I21" s="2"/>
      <c r="J21" s="1"/>
      <c r="K21" s="1"/>
    </row>
    <row r="22" spans="1:11" ht="16.2" customHeight="1">
      <c r="A22" s="923">
        <v>16</v>
      </c>
      <c r="B22" s="480" t="s">
        <v>1062</v>
      </c>
      <c r="C22" s="574"/>
      <c r="D22" s="1617">
        <v>15772.513952950503</v>
      </c>
      <c r="E22" s="1616"/>
      <c r="F22" s="1615">
        <v>7165.9275161080004</v>
      </c>
      <c r="G22" s="2"/>
      <c r="H22" s="2"/>
      <c r="I22" s="2"/>
      <c r="J22" s="1"/>
      <c r="K22" s="1"/>
    </row>
    <row r="23" spans="1:11" ht="16.2" customHeight="1">
      <c r="A23" s="923">
        <v>17</v>
      </c>
      <c r="B23" s="480" t="s">
        <v>1063</v>
      </c>
      <c r="C23" s="580"/>
      <c r="D23" s="1617">
        <v>1703.0060001842344</v>
      </c>
      <c r="E23" s="1618"/>
      <c r="F23" s="1615">
        <v>768.71953687099995</v>
      </c>
      <c r="G23" s="2"/>
      <c r="H23" s="2"/>
      <c r="I23" s="2"/>
      <c r="J23" s="1"/>
      <c r="K23" s="1"/>
    </row>
    <row r="24" spans="1:11" ht="16.2" customHeight="1">
      <c r="A24" s="923">
        <v>18</v>
      </c>
      <c r="B24" s="482" t="s">
        <v>1064</v>
      </c>
      <c r="C24" s="574"/>
      <c r="D24" s="1617">
        <v>18024.132406278091</v>
      </c>
      <c r="E24" s="1613"/>
      <c r="F24" s="1615">
        <v>8238.9654258619994</v>
      </c>
      <c r="G24" s="2"/>
      <c r="H24" s="2"/>
      <c r="I24" s="2"/>
      <c r="J24" s="1"/>
      <c r="K24" s="1"/>
    </row>
    <row r="25" spans="1:11" ht="16.2" customHeight="1">
      <c r="A25" s="923">
        <v>19</v>
      </c>
      <c r="B25" s="480"/>
      <c r="C25" s="574"/>
      <c r="D25" s="1612"/>
      <c r="E25" s="1616"/>
      <c r="F25" s="1615"/>
      <c r="G25" s="2"/>
      <c r="H25" s="2"/>
      <c r="I25" s="2"/>
      <c r="J25" s="1"/>
      <c r="K25" s="1"/>
    </row>
    <row r="26" spans="1:11" ht="16.2" customHeight="1">
      <c r="A26" s="923">
        <v>20</v>
      </c>
      <c r="B26" s="480"/>
      <c r="C26" s="574"/>
      <c r="D26" s="578"/>
      <c r="E26" s="577"/>
      <c r="F26" s="588"/>
      <c r="G26" s="2"/>
      <c r="H26" s="2"/>
      <c r="I26" s="2"/>
      <c r="J26" s="1"/>
      <c r="K26" s="1"/>
    </row>
    <row r="27" spans="1:11" ht="16.2" customHeight="1">
      <c r="A27" s="923">
        <v>21</v>
      </c>
      <c r="B27" s="480"/>
      <c r="C27" s="574"/>
      <c r="D27" s="578"/>
      <c r="E27" s="577"/>
      <c r="F27" s="588"/>
      <c r="G27" s="2"/>
      <c r="H27" s="2"/>
      <c r="I27" s="2"/>
      <c r="J27" s="1"/>
      <c r="K27" s="1"/>
    </row>
    <row r="28" spans="1:11" ht="16.2" customHeight="1">
      <c r="A28" s="923">
        <v>22</v>
      </c>
      <c r="B28" s="480"/>
      <c r="C28" s="574"/>
      <c r="D28" s="578"/>
      <c r="E28" s="577"/>
      <c r="F28" s="588"/>
      <c r="G28" s="2"/>
      <c r="H28" s="2"/>
      <c r="I28" s="2"/>
      <c r="J28" s="1"/>
      <c r="K28" s="1"/>
    </row>
    <row r="29" spans="1:11" ht="16.2" customHeight="1">
      <c r="A29" s="923">
        <v>23</v>
      </c>
      <c r="B29" s="480"/>
      <c r="C29" s="580"/>
      <c r="D29" s="578"/>
      <c r="E29" s="580"/>
      <c r="F29" s="588"/>
      <c r="G29" s="2"/>
      <c r="H29" s="2"/>
      <c r="I29" s="2"/>
      <c r="J29" s="1"/>
      <c r="K29" s="1"/>
    </row>
    <row r="30" spans="1:11" ht="16.2" customHeight="1">
      <c r="A30" s="923">
        <v>24</v>
      </c>
      <c r="B30" s="482"/>
      <c r="C30" s="574"/>
      <c r="D30" s="578"/>
      <c r="E30" s="574"/>
      <c r="F30" s="588"/>
      <c r="G30" s="2"/>
      <c r="H30" s="2"/>
      <c r="I30" s="2"/>
      <c r="J30" s="1"/>
      <c r="K30" s="1"/>
    </row>
    <row r="31" spans="1:11" ht="16.2" customHeight="1">
      <c r="A31" s="702">
        <v>25</v>
      </c>
      <c r="B31" s="480"/>
      <c r="C31" s="580"/>
      <c r="D31" s="1225"/>
      <c r="E31" s="580"/>
      <c r="F31" s="1224"/>
      <c r="G31" s="2"/>
      <c r="H31" s="2"/>
      <c r="I31" s="2"/>
      <c r="J31" s="1"/>
      <c r="K31" s="1"/>
    </row>
    <row r="32" spans="1:11" ht="16.2" customHeight="1">
      <c r="A32" s="702">
        <v>26</v>
      </c>
      <c r="B32" s="482"/>
      <c r="C32" s="574"/>
      <c r="D32" s="1225"/>
      <c r="E32" s="574"/>
      <c r="F32" s="1224"/>
      <c r="G32" s="2"/>
      <c r="H32" s="2"/>
      <c r="I32" s="2"/>
      <c r="J32" s="1"/>
      <c r="K32" s="1"/>
    </row>
    <row r="33" spans="1:11" ht="16.2" customHeight="1">
      <c r="A33" s="702">
        <v>27</v>
      </c>
      <c r="B33" s="579"/>
      <c r="C33" s="579"/>
      <c r="D33" s="580"/>
      <c r="E33" s="580"/>
      <c r="F33" s="580"/>
      <c r="G33" s="2"/>
      <c r="H33" s="2"/>
      <c r="I33" s="2"/>
      <c r="J33" s="1"/>
      <c r="K33" s="1"/>
    </row>
    <row r="34" spans="1:11" ht="16.2" customHeight="1">
      <c r="A34" s="702">
        <v>28</v>
      </c>
      <c r="B34" s="579"/>
      <c r="C34" s="579"/>
      <c r="D34" s="579"/>
      <c r="E34" s="579"/>
      <c r="F34" s="579"/>
      <c r="G34" s="2"/>
      <c r="H34" s="2"/>
      <c r="I34" s="2"/>
      <c r="J34" s="1"/>
      <c r="K34" s="1"/>
    </row>
    <row r="35" spans="1:11" ht="16.2" customHeight="1">
      <c r="A35" s="702">
        <v>29</v>
      </c>
      <c r="B35" s="579"/>
      <c r="C35" s="579"/>
      <c r="D35" s="579"/>
      <c r="E35" s="579"/>
      <c r="F35" s="579"/>
      <c r="G35" s="2"/>
      <c r="H35" s="2"/>
      <c r="I35" s="2"/>
      <c r="J35" s="1"/>
      <c r="K35" s="1"/>
    </row>
    <row r="36" spans="1:11" ht="16.2" customHeight="1">
      <c r="A36" s="702">
        <v>30</v>
      </c>
      <c r="B36" s="579"/>
      <c r="C36" s="579"/>
      <c r="D36" s="579"/>
      <c r="E36" s="579"/>
      <c r="F36" s="579"/>
      <c r="G36" s="2"/>
      <c r="H36" s="2"/>
      <c r="I36" s="2"/>
      <c r="J36" s="1"/>
      <c r="K36" s="1"/>
    </row>
    <row r="37" spans="1:11" ht="16.2" customHeight="1">
      <c r="A37" s="702">
        <v>31</v>
      </c>
      <c r="B37" s="480"/>
      <c r="C37" s="581"/>
      <c r="D37" s="575"/>
      <c r="E37" s="574"/>
      <c r="F37" s="576"/>
      <c r="G37" s="2"/>
      <c r="H37" s="2"/>
      <c r="I37" s="2"/>
      <c r="J37" s="1"/>
      <c r="K37" s="1"/>
    </row>
    <row r="38" spans="1:11" ht="16.2" customHeight="1">
      <c r="A38" s="702">
        <v>32</v>
      </c>
      <c r="B38" s="579"/>
      <c r="C38" s="579"/>
      <c r="D38" s="579"/>
      <c r="E38" s="579"/>
      <c r="F38" s="579"/>
      <c r="G38" s="2"/>
      <c r="H38" s="2"/>
      <c r="I38" s="2"/>
      <c r="J38" s="1"/>
      <c r="K38" s="1"/>
    </row>
    <row r="39" spans="1:11" ht="16.2" customHeight="1">
      <c r="A39" s="702">
        <v>33</v>
      </c>
      <c r="B39" s="480"/>
      <c r="C39" s="581"/>
      <c r="D39" s="578"/>
      <c r="E39" s="577"/>
      <c r="F39" s="576"/>
      <c r="G39" s="2"/>
      <c r="H39" s="2"/>
      <c r="I39" s="2"/>
      <c r="J39" s="1"/>
      <c r="K39" s="1"/>
    </row>
    <row r="40" spans="1:11" ht="16.2" customHeight="1">
      <c r="A40" s="702">
        <v>34</v>
      </c>
      <c r="B40" s="579"/>
      <c r="C40" s="579"/>
      <c r="D40" s="579"/>
      <c r="E40" s="579"/>
      <c r="F40" s="579"/>
      <c r="G40" s="2"/>
      <c r="H40" s="2"/>
      <c r="I40" s="2"/>
      <c r="J40" s="1"/>
      <c r="K40" s="1"/>
    </row>
    <row r="41" spans="1:11" ht="16.2" customHeight="1">
      <c r="A41" s="702">
        <v>35</v>
      </c>
      <c r="B41" s="480"/>
      <c r="C41" s="581"/>
      <c r="D41" s="578"/>
      <c r="E41" s="577"/>
      <c r="F41" s="576"/>
      <c r="G41" s="2"/>
      <c r="H41" s="2"/>
      <c r="I41" s="2"/>
      <c r="J41" s="1"/>
      <c r="K41" s="1"/>
    </row>
    <row r="42" spans="1:11" ht="16.2" customHeight="1">
      <c r="A42" s="702">
        <v>36</v>
      </c>
      <c r="B42" s="579"/>
      <c r="C42" s="579"/>
      <c r="D42" s="579"/>
      <c r="E42" s="579"/>
      <c r="F42" s="579"/>
      <c r="G42" s="2"/>
      <c r="H42" s="2"/>
      <c r="I42" s="2"/>
      <c r="J42" s="1"/>
      <c r="K42" s="1"/>
    </row>
    <row r="43" spans="1:11" ht="16.2" customHeight="1">
      <c r="A43" s="702">
        <v>37</v>
      </c>
      <c r="B43" s="480"/>
      <c r="C43" s="581"/>
      <c r="D43" s="578"/>
      <c r="E43" s="577"/>
      <c r="F43" s="576"/>
      <c r="G43" s="2"/>
      <c r="H43" s="2"/>
      <c r="I43" s="2"/>
      <c r="J43" s="1"/>
      <c r="K43" s="1"/>
    </row>
    <row r="44" spans="1:11" ht="16.2" customHeight="1">
      <c r="A44" s="702">
        <v>38</v>
      </c>
      <c r="B44" s="579"/>
      <c r="C44" s="579"/>
      <c r="D44" s="579"/>
      <c r="E44" s="579"/>
      <c r="F44" s="579"/>
      <c r="G44" s="2"/>
      <c r="H44" s="2"/>
      <c r="I44" s="2"/>
      <c r="J44" s="1"/>
      <c r="K44" s="1"/>
    </row>
    <row r="45" spans="1:11" ht="16.2" customHeight="1">
      <c r="A45" s="702">
        <v>39</v>
      </c>
      <c r="B45" s="480"/>
      <c r="C45" s="581"/>
      <c r="D45" s="578"/>
      <c r="E45" s="577"/>
      <c r="F45" s="576"/>
      <c r="G45" s="2"/>
      <c r="H45" s="2"/>
      <c r="I45" s="2"/>
      <c r="J45" s="1"/>
      <c r="K45" s="1"/>
    </row>
    <row r="46" spans="1:11" ht="16.2" customHeight="1">
      <c r="A46" s="702">
        <v>40</v>
      </c>
      <c r="B46" s="579"/>
      <c r="C46" s="579"/>
      <c r="D46" s="579"/>
      <c r="E46" s="579"/>
      <c r="F46" s="579"/>
      <c r="G46" s="2"/>
      <c r="H46" s="2"/>
      <c r="I46" s="2"/>
      <c r="J46" s="1"/>
      <c r="K46" s="1"/>
    </row>
    <row r="47" spans="1:11" ht="16.2" customHeight="1">
      <c r="A47" s="702">
        <v>41</v>
      </c>
      <c r="B47" s="480"/>
      <c r="C47" s="581"/>
      <c r="D47" s="578"/>
      <c r="E47" s="577"/>
      <c r="F47" s="576"/>
      <c r="G47" s="2"/>
      <c r="H47" s="2"/>
      <c r="I47" s="2"/>
      <c r="J47" s="1"/>
      <c r="K47" s="1"/>
    </row>
    <row r="48" spans="1:11" ht="16.2" customHeight="1">
      <c r="A48" s="702">
        <v>42</v>
      </c>
      <c r="B48" s="579"/>
      <c r="C48" s="579"/>
      <c r="D48" s="579"/>
      <c r="E48" s="579"/>
      <c r="F48" s="579"/>
      <c r="G48" s="2"/>
      <c r="H48" s="2"/>
      <c r="I48" s="2"/>
      <c r="J48" s="1"/>
      <c r="K48" s="1"/>
    </row>
    <row r="49" spans="1:11" ht="16.2" customHeight="1">
      <c r="A49" s="702">
        <v>43</v>
      </c>
      <c r="B49" s="480"/>
      <c r="C49" s="581"/>
      <c r="D49" s="578"/>
      <c r="E49" s="577"/>
      <c r="F49" s="576"/>
      <c r="G49" s="2"/>
      <c r="H49" s="2"/>
      <c r="I49" s="2"/>
      <c r="J49" s="1"/>
      <c r="K49" s="1"/>
    </row>
    <row r="50" spans="1:11" ht="18">
      <c r="A50" s="667"/>
      <c r="B50" s="829" t="s">
        <v>468</v>
      </c>
      <c r="C50" s="829"/>
      <c r="D50" s="1148">
        <f>SUM(D7:D49)</f>
        <v>2376458.7091921805</v>
      </c>
      <c r="E50" s="642"/>
      <c r="F50" s="1149">
        <f>SUM(F7:F49)</f>
        <v>1092695.8422608748</v>
      </c>
      <c r="G50" s="2"/>
      <c r="H50" s="2"/>
      <c r="I50" s="2"/>
      <c r="J50" s="1"/>
      <c r="K50" s="1"/>
    </row>
    <row r="51" spans="1:11" ht="18">
      <c r="A51" s="642"/>
      <c r="B51" s="667"/>
      <c r="C51" s="667"/>
      <c r="D51" s="702" t="s">
        <v>1601</v>
      </c>
      <c r="E51" s="642"/>
      <c r="F51" s="702" t="s">
        <v>1602</v>
      </c>
      <c r="G51" s="2"/>
      <c r="H51" s="2"/>
      <c r="I51" s="2"/>
      <c r="J51" s="1"/>
      <c r="K51" s="1"/>
    </row>
    <row r="52" spans="1:11" ht="15.6">
      <c r="A52" s="726" t="s">
        <v>110</v>
      </c>
      <c r="B52" s="642"/>
      <c r="C52" s="642"/>
      <c r="D52" s="642"/>
      <c r="E52" s="642"/>
      <c r="F52" s="642"/>
      <c r="G52" s="2"/>
      <c r="H52" s="2"/>
      <c r="I52" s="2"/>
      <c r="J52" s="1"/>
      <c r="K52" s="1"/>
    </row>
    <row r="53" spans="1:11" ht="18.600000000000001">
      <c r="A53" s="660" t="s">
        <v>2329</v>
      </c>
      <c r="B53" s="642"/>
      <c r="C53" s="642"/>
      <c r="D53" s="642"/>
      <c r="E53" s="642"/>
      <c r="F53" s="642"/>
      <c r="G53" s="2"/>
      <c r="H53" s="2"/>
      <c r="I53" s="2"/>
      <c r="J53" s="1"/>
      <c r="K53" s="1"/>
    </row>
    <row r="54" spans="1:11" ht="18.600000000000001">
      <c r="A54" s="660" t="s">
        <v>1244</v>
      </c>
      <c r="B54" s="642"/>
      <c r="C54" s="642"/>
      <c r="D54" s="642"/>
      <c r="E54" s="642"/>
      <c r="F54" s="642"/>
      <c r="G54" s="2"/>
      <c r="H54" s="2"/>
      <c r="I54" s="2"/>
      <c r="J54" s="1"/>
      <c r="K54" s="1"/>
    </row>
    <row r="55" spans="1:11" ht="15.6">
      <c r="A55" s="642" t="s">
        <v>2330</v>
      </c>
      <c r="B55" s="642"/>
      <c r="C55" s="642"/>
      <c r="D55" s="642"/>
      <c r="E55" s="642"/>
      <c r="F55" s="642"/>
      <c r="G55" s="2"/>
      <c r="H55" s="2"/>
      <c r="I55" s="2"/>
      <c r="J55" s="1"/>
      <c r="K55" s="1"/>
    </row>
    <row r="56" spans="1:11" ht="15.6">
      <c r="A56" s="642" t="s">
        <v>3032</v>
      </c>
      <c r="B56" s="642"/>
      <c r="C56" s="642"/>
      <c r="D56" s="642"/>
      <c r="E56" s="642"/>
      <c r="F56" s="642"/>
      <c r="G56" s="2"/>
      <c r="H56" s="2"/>
      <c r="I56" s="2"/>
      <c r="J56" s="1"/>
      <c r="K56" s="1"/>
    </row>
    <row r="57" spans="1:11" ht="15.6">
      <c r="A57" s="642" t="s">
        <v>3033</v>
      </c>
      <c r="B57" s="642"/>
      <c r="C57" s="642"/>
      <c r="D57" s="642"/>
      <c r="E57" s="642"/>
      <c r="F57" s="642"/>
      <c r="G57" s="2"/>
      <c r="H57" s="2"/>
      <c r="I57" s="2"/>
      <c r="J57" s="1"/>
      <c r="K57" s="1"/>
    </row>
    <row r="58" spans="1:11" ht="19.2">
      <c r="A58" s="660" t="s">
        <v>2331</v>
      </c>
      <c r="B58" s="667"/>
      <c r="C58" s="667"/>
      <c r="D58" s="642"/>
      <c r="E58" s="642"/>
      <c r="F58" s="642"/>
      <c r="G58" s="2"/>
      <c r="H58" s="2"/>
      <c r="I58" s="2"/>
      <c r="J58" s="1"/>
      <c r="K58" s="1"/>
    </row>
    <row r="59" spans="1:11" ht="18">
      <c r="A59" s="642" t="s">
        <v>3035</v>
      </c>
      <c r="B59" s="667"/>
      <c r="C59" s="667"/>
      <c r="D59" s="642"/>
      <c r="E59" s="642"/>
      <c r="F59" s="642"/>
      <c r="G59" s="2"/>
      <c r="H59" s="2"/>
      <c r="I59" s="2"/>
      <c r="J59" s="1"/>
      <c r="K59" s="1"/>
    </row>
    <row r="60" spans="1:11" ht="15.6">
      <c r="A60" s="1787" t="s">
        <v>3034</v>
      </c>
      <c r="B60" s="1788"/>
      <c r="C60" s="1788"/>
      <c r="D60" s="1788"/>
      <c r="E60" s="1788"/>
      <c r="F60" s="1788"/>
      <c r="G60" s="2"/>
      <c r="H60" s="2"/>
      <c r="I60" s="2"/>
      <c r="J60" s="1"/>
      <c r="K60" s="1"/>
    </row>
    <row r="61" spans="1:11" ht="15">
      <c r="B61" s="3"/>
      <c r="C61" s="3"/>
      <c r="D61" s="3"/>
      <c r="E61" s="3"/>
      <c r="F61" s="3"/>
      <c r="G61" s="3"/>
      <c r="H61" s="3"/>
      <c r="I61" s="3"/>
    </row>
    <row r="62" spans="1:11" ht="15">
      <c r="B62" s="3"/>
      <c r="C62" s="3"/>
      <c r="D62" s="3"/>
      <c r="E62" s="3"/>
      <c r="F62" s="3"/>
      <c r="G62" s="3"/>
      <c r="H62" s="3"/>
      <c r="I62" s="3"/>
    </row>
  </sheetData>
  <sheetProtection sheet="1" objects="1" scenarios="1"/>
  <mergeCells count="3">
    <mergeCell ref="A1:F1"/>
    <mergeCell ref="A2:F2"/>
    <mergeCell ref="A60:F60"/>
  </mergeCells>
  <phoneticPr fontId="26" type="noConversion"/>
  <printOptions horizontalCentered="1"/>
  <pageMargins left="0.75" right="0.75" top="0.96" bottom="1" header="0.5" footer="0.5"/>
  <pageSetup scale="68" orientation="portrait" r:id="rId1"/>
  <headerFooter alignWithMargins="0">
    <oddHeader>&amp;C&amp;"Times New Roman,Bold"&amp;16ATTACHMENT D, &amp;P of &amp;N
EVERGY</oddHeader>
    <oddFooter>&amp;R&amp;1#&amp;"Calibri"&amp;10&amp;KA80000Internal Use 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H25"/>
  <sheetViews>
    <sheetView view="pageBreakPreview" zoomScale="90" zoomScaleNormal="100" zoomScaleSheetLayoutView="90" workbookViewId="0">
      <selection sqref="A1:H1"/>
    </sheetView>
  </sheetViews>
  <sheetFormatPr defaultColWidth="9.109375" defaultRowHeight="13.2"/>
  <cols>
    <col min="1" max="1" width="7.6640625" style="55" customWidth="1"/>
    <col min="2" max="2" width="50.5546875" style="55" customWidth="1"/>
    <col min="3" max="3" width="18" style="55" customWidth="1"/>
    <col min="4" max="4" width="17" style="55" customWidth="1"/>
    <col min="5" max="5" width="15.5546875" style="55" customWidth="1"/>
    <col min="6" max="6" width="17.6640625" style="55" customWidth="1"/>
    <col min="7" max="7" width="17.109375" style="55" customWidth="1"/>
    <col min="8" max="8" width="16.33203125" style="55" customWidth="1"/>
    <col min="9" max="9" width="13.6640625" style="55" customWidth="1"/>
    <col min="10" max="10" width="10.5546875" style="55" customWidth="1"/>
    <col min="11" max="11" width="10.5546875" style="55" bestFit="1" customWidth="1"/>
    <col min="12" max="16384" width="9.109375" style="55"/>
  </cols>
  <sheetData>
    <row r="1" spans="1:8" ht="21">
      <c r="A1" s="1713" t="s">
        <v>590</v>
      </c>
      <c r="B1" s="1713"/>
      <c r="C1" s="1790"/>
      <c r="D1" s="1790"/>
      <c r="E1" s="1790"/>
      <c r="F1" s="1790"/>
      <c r="G1" s="1790"/>
      <c r="H1" s="1790"/>
    </row>
    <row r="2" spans="1:8" ht="19.2">
      <c r="A2" s="1725" t="str">
        <f>' Net Monthly Bill'!A2:B2</f>
        <v>For Contract Year Beginning June 1, 2024, Based on 2023 Data</v>
      </c>
      <c r="B2" s="1725"/>
      <c r="C2" s="1725"/>
      <c r="D2" s="1725"/>
      <c r="E2" s="1725"/>
      <c r="F2" s="1725"/>
      <c r="G2" s="1725"/>
      <c r="H2" s="1725"/>
    </row>
    <row r="3" spans="1:8" ht="17.399999999999999">
      <c r="A3" s="913"/>
      <c r="B3" s="913"/>
      <c r="C3" s="862"/>
      <c r="D3" s="862"/>
      <c r="E3" s="862"/>
      <c r="F3" s="862"/>
      <c r="G3" s="862"/>
      <c r="H3" s="862"/>
    </row>
    <row r="4" spans="1:8" ht="15.6">
      <c r="A4" s="914"/>
      <c r="B4" s="914"/>
      <c r="C4" s="1791" t="s">
        <v>2892</v>
      </c>
      <c r="D4" s="1791"/>
      <c r="E4" s="1791"/>
      <c r="F4" s="1792" t="s">
        <v>2893</v>
      </c>
      <c r="G4" s="1791"/>
      <c r="H4" s="1791"/>
    </row>
    <row r="5" spans="1:8" ht="15.6">
      <c r="A5" s="862"/>
      <c r="B5" s="862"/>
      <c r="C5" s="862"/>
      <c r="D5" s="702" t="s">
        <v>1568</v>
      </c>
      <c r="E5" s="916"/>
      <c r="F5" s="862"/>
      <c r="G5" s="702" t="s">
        <v>1568</v>
      </c>
      <c r="H5" s="862"/>
    </row>
    <row r="6" spans="1:8" ht="18.600000000000001">
      <c r="A6" s="702" t="s">
        <v>494</v>
      </c>
      <c r="B6" s="917" t="s">
        <v>654</v>
      </c>
      <c r="C6" s="702" t="s">
        <v>468</v>
      </c>
      <c r="D6" s="702" t="s">
        <v>2313</v>
      </c>
      <c r="E6" s="918" t="s">
        <v>19</v>
      </c>
      <c r="F6" s="919" t="s">
        <v>468</v>
      </c>
      <c r="G6" s="702" t="s">
        <v>2314</v>
      </c>
      <c r="H6" s="702" t="s">
        <v>19</v>
      </c>
    </row>
    <row r="7" spans="1:8" ht="15.6">
      <c r="A7" s="734" t="s">
        <v>928</v>
      </c>
      <c r="B7" s="862"/>
      <c r="C7" s="734" t="s">
        <v>1415</v>
      </c>
      <c r="D7" s="920" t="s">
        <v>2315</v>
      </c>
      <c r="E7" s="734" t="s">
        <v>1277</v>
      </c>
      <c r="F7" s="921" t="s">
        <v>1415</v>
      </c>
      <c r="G7" s="920" t="s">
        <v>2315</v>
      </c>
      <c r="H7" s="734" t="s">
        <v>1277</v>
      </c>
    </row>
    <row r="8" spans="1:8" ht="15.6">
      <c r="A8" s="734"/>
      <c r="B8" s="642"/>
      <c r="C8" s="702" t="s">
        <v>113</v>
      </c>
      <c r="D8" s="702" t="s">
        <v>114</v>
      </c>
      <c r="E8" s="918" t="s">
        <v>1245</v>
      </c>
      <c r="F8" s="702" t="s">
        <v>753</v>
      </c>
      <c r="G8" s="702" t="s">
        <v>754</v>
      </c>
      <c r="H8" s="702" t="s">
        <v>1246</v>
      </c>
    </row>
    <row r="9" spans="1:8" ht="15.6">
      <c r="A9" s="702">
        <v>1</v>
      </c>
      <c r="B9" s="704" t="s">
        <v>3084</v>
      </c>
      <c r="C9" s="1619">
        <v>4020185.83</v>
      </c>
      <c r="D9" s="1620">
        <v>4020185.83</v>
      </c>
      <c r="E9" s="922">
        <f>C9-D9</f>
        <v>0</v>
      </c>
      <c r="F9" s="1621">
        <v>0</v>
      </c>
      <c r="G9" s="1620">
        <v>0</v>
      </c>
      <c r="H9" s="922">
        <f>F9-G9</f>
        <v>0</v>
      </c>
    </row>
    <row r="10" spans="1:8" ht="15.6">
      <c r="A10" s="702">
        <f>A9+1</f>
        <v>2</v>
      </c>
      <c r="B10" s="704" t="s">
        <v>3085</v>
      </c>
      <c r="C10" s="1620">
        <v>0</v>
      </c>
      <c r="D10" s="1620">
        <v>0</v>
      </c>
      <c r="E10" s="922">
        <f t="shared" ref="E10:E20" si="0">C10-D10</f>
        <v>0</v>
      </c>
      <c r="F10" s="1621">
        <v>0</v>
      </c>
      <c r="G10" s="1620">
        <v>0</v>
      </c>
      <c r="H10" s="922">
        <f t="shared" ref="H10:H20" si="1">F10-G10</f>
        <v>0</v>
      </c>
    </row>
    <row r="11" spans="1:8" ht="15.6">
      <c r="A11" s="702">
        <f t="shared" ref="A11:A21" si="2">A10+1</f>
        <v>3</v>
      </c>
      <c r="B11" s="704" t="s">
        <v>3086</v>
      </c>
      <c r="C11" s="1619">
        <v>1750988.1100000003</v>
      </c>
      <c r="D11" s="1620">
        <v>1750988.1100000003</v>
      </c>
      <c r="E11" s="922">
        <f t="shared" si="0"/>
        <v>0</v>
      </c>
      <c r="F11" s="1621">
        <v>3176701.91</v>
      </c>
      <c r="G11" s="1619">
        <v>3176701.91</v>
      </c>
      <c r="H11" s="922">
        <f t="shared" si="1"/>
        <v>0</v>
      </c>
    </row>
    <row r="12" spans="1:8" ht="15.6">
      <c r="A12" s="702">
        <f t="shared" si="2"/>
        <v>4</v>
      </c>
      <c r="B12" s="704" t="s">
        <v>3087</v>
      </c>
      <c r="C12" s="1619">
        <v>117488902.86</v>
      </c>
      <c r="D12" s="1620">
        <v>117488902.86</v>
      </c>
      <c r="E12" s="922">
        <f t="shared" si="0"/>
        <v>0</v>
      </c>
      <c r="F12" s="1621">
        <v>83195726.780000001</v>
      </c>
      <c r="G12" s="1619">
        <v>83195726.780000001</v>
      </c>
      <c r="H12" s="922">
        <f t="shared" si="1"/>
        <v>0</v>
      </c>
    </row>
    <row r="13" spans="1:8" ht="15.6">
      <c r="A13" s="702">
        <f t="shared" si="2"/>
        <v>5</v>
      </c>
      <c r="B13" s="704" t="s">
        <v>3088</v>
      </c>
      <c r="C13" s="1620">
        <v>0</v>
      </c>
      <c r="D13" s="1620">
        <v>0</v>
      </c>
      <c r="E13" s="922">
        <f t="shared" si="0"/>
        <v>0</v>
      </c>
      <c r="F13" s="1621">
        <v>0</v>
      </c>
      <c r="G13" s="1620">
        <v>0</v>
      </c>
      <c r="H13" s="922">
        <f t="shared" si="1"/>
        <v>0</v>
      </c>
    </row>
    <row r="14" spans="1:8" ht="15.6">
      <c r="A14" s="702">
        <f t="shared" si="2"/>
        <v>6</v>
      </c>
      <c r="B14" s="704" t="s">
        <v>3090</v>
      </c>
      <c r="C14" s="1620">
        <v>5316344.84</v>
      </c>
      <c r="D14" s="1620">
        <v>5316344.84</v>
      </c>
      <c r="E14" s="922">
        <f t="shared" si="0"/>
        <v>0</v>
      </c>
      <c r="F14" s="1621">
        <v>1738825.22</v>
      </c>
      <c r="G14" s="1619">
        <v>1738825.22</v>
      </c>
      <c r="H14" s="922">
        <f t="shared" si="1"/>
        <v>0</v>
      </c>
    </row>
    <row r="15" spans="1:8" ht="15.6">
      <c r="A15" s="702">
        <f t="shared" si="2"/>
        <v>7</v>
      </c>
      <c r="B15" s="704" t="s">
        <v>3089</v>
      </c>
      <c r="C15" s="1620">
        <v>337829.93</v>
      </c>
      <c r="D15" s="1620">
        <v>337829.93</v>
      </c>
      <c r="E15" s="922">
        <f t="shared" si="0"/>
        <v>0</v>
      </c>
      <c r="F15" s="1621">
        <v>2388707.86</v>
      </c>
      <c r="G15" s="1619">
        <v>2388707.86</v>
      </c>
      <c r="H15" s="922">
        <f t="shared" si="1"/>
        <v>0</v>
      </c>
    </row>
    <row r="16" spans="1:8" ht="15.6">
      <c r="A16" s="702">
        <f t="shared" si="2"/>
        <v>8</v>
      </c>
      <c r="B16" s="704" t="s">
        <v>3091</v>
      </c>
      <c r="C16" s="1620">
        <v>464619.35</v>
      </c>
      <c r="D16" s="1620">
        <v>464619.35</v>
      </c>
      <c r="E16" s="922">
        <f t="shared" si="0"/>
        <v>0</v>
      </c>
      <c r="F16" s="1621">
        <v>145193.56</v>
      </c>
      <c r="G16" s="1619">
        <v>145193.56</v>
      </c>
      <c r="H16" s="922">
        <f t="shared" si="1"/>
        <v>0</v>
      </c>
    </row>
    <row r="17" spans="1:8" ht="15.6">
      <c r="A17" s="923">
        <f t="shared" si="2"/>
        <v>9</v>
      </c>
      <c r="B17" s="924" t="s">
        <v>3092</v>
      </c>
      <c r="C17" s="1620">
        <v>2150964.7999999998</v>
      </c>
      <c r="D17" s="1620">
        <v>2150964.7999999998</v>
      </c>
      <c r="E17" s="922">
        <f t="shared" si="0"/>
        <v>0</v>
      </c>
      <c r="F17" s="1621">
        <v>732070.94</v>
      </c>
      <c r="G17" s="1619">
        <v>732070.94</v>
      </c>
      <c r="H17" s="922">
        <f t="shared" si="1"/>
        <v>0</v>
      </c>
    </row>
    <row r="18" spans="1:8" ht="15.6">
      <c r="A18" s="702">
        <f t="shared" si="2"/>
        <v>10</v>
      </c>
      <c r="B18" s="704" t="s">
        <v>3093</v>
      </c>
      <c r="C18" s="1620">
        <v>1782747.42</v>
      </c>
      <c r="D18" s="1620">
        <v>0</v>
      </c>
      <c r="E18" s="922">
        <f t="shared" si="0"/>
        <v>1782747.42</v>
      </c>
      <c r="F18" s="1621">
        <v>-460896.73</v>
      </c>
      <c r="G18" s="1620">
        <v>0</v>
      </c>
      <c r="H18" s="922">
        <f t="shared" si="1"/>
        <v>-460896.73</v>
      </c>
    </row>
    <row r="19" spans="1:8" ht="15.6">
      <c r="A19" s="702">
        <f t="shared" si="2"/>
        <v>11</v>
      </c>
      <c r="B19" s="704" t="s">
        <v>3094</v>
      </c>
      <c r="C19" s="1620">
        <v>-27902932.940000001</v>
      </c>
      <c r="D19" s="1620">
        <v>-27902932.940000001</v>
      </c>
      <c r="E19" s="922">
        <f t="shared" si="0"/>
        <v>0</v>
      </c>
      <c r="F19" s="1621">
        <v>0</v>
      </c>
      <c r="G19" s="1619">
        <v>0</v>
      </c>
      <c r="H19" s="922">
        <f t="shared" si="1"/>
        <v>0</v>
      </c>
    </row>
    <row r="20" spans="1:8" ht="15.6">
      <c r="A20" s="702">
        <f t="shared" si="2"/>
        <v>12</v>
      </c>
      <c r="B20" s="704" t="s">
        <v>3095</v>
      </c>
      <c r="C20" s="1620">
        <v>35622299.340000004</v>
      </c>
      <c r="D20" s="1620">
        <v>35622299.340000004</v>
      </c>
      <c r="E20" s="922">
        <f t="shared" si="0"/>
        <v>0</v>
      </c>
      <c r="F20" s="1621">
        <v>33346789.25</v>
      </c>
      <c r="G20" s="1619">
        <v>33346789.25</v>
      </c>
      <c r="H20" s="922">
        <f t="shared" si="1"/>
        <v>0</v>
      </c>
    </row>
    <row r="21" spans="1:8" ht="15.6">
      <c r="A21" s="702">
        <f t="shared" si="2"/>
        <v>13</v>
      </c>
      <c r="B21" s="704" t="s">
        <v>14</v>
      </c>
      <c r="C21" s="925">
        <f t="shared" ref="C21:H21" si="3">SUM(C9:C20)</f>
        <v>141031949.54000002</v>
      </c>
      <c r="D21" s="926">
        <f t="shared" si="3"/>
        <v>139249202.12</v>
      </c>
      <c r="E21" s="922">
        <f t="shared" si="3"/>
        <v>1782747.42</v>
      </c>
      <c r="F21" s="925">
        <f t="shared" si="3"/>
        <v>124263118.78999999</v>
      </c>
      <c r="G21" s="926">
        <f t="shared" si="3"/>
        <v>124724015.52</v>
      </c>
      <c r="H21" s="922">
        <f t="shared" si="3"/>
        <v>-460896.73</v>
      </c>
    </row>
    <row r="22" spans="1:8">
      <c r="A22" s="862"/>
      <c r="B22" s="862"/>
      <c r="C22" s="1789" t="s">
        <v>1201</v>
      </c>
      <c r="D22" s="1789"/>
      <c r="E22" s="862"/>
      <c r="F22" s="1789" t="s">
        <v>1201</v>
      </c>
      <c r="G22" s="1789"/>
      <c r="H22" s="862"/>
    </row>
    <row r="23" spans="1:8" ht="15.6">
      <c r="A23" s="726" t="s">
        <v>110</v>
      </c>
      <c r="B23" s="862"/>
      <c r="C23" s="862"/>
      <c r="D23" s="862"/>
      <c r="E23" s="862"/>
      <c r="F23" s="862"/>
      <c r="G23" s="862"/>
      <c r="H23" s="862"/>
    </row>
    <row r="24" spans="1:8" ht="18.600000000000001">
      <c r="A24" s="660" t="s">
        <v>1247</v>
      </c>
      <c r="B24" s="862"/>
      <c r="C24" s="862"/>
      <c r="D24" s="862"/>
      <c r="E24" s="862"/>
      <c r="F24" s="927">
        <f>F21+C21</f>
        <v>265295068.33000001</v>
      </c>
      <c r="G24" s="927">
        <f>G21+D21</f>
        <v>263973217.63999999</v>
      </c>
      <c r="H24" s="927">
        <f>F24-G24</f>
        <v>1321850.6900000274</v>
      </c>
    </row>
    <row r="25" spans="1:8" ht="15.6">
      <c r="A25" s="642" t="s">
        <v>1603</v>
      </c>
      <c r="B25" s="862"/>
      <c r="C25" s="862"/>
      <c r="D25" s="862"/>
      <c r="E25" s="862"/>
      <c r="F25" s="862"/>
      <c r="G25" s="862"/>
      <c r="H25" s="862"/>
    </row>
  </sheetData>
  <sheetProtection sheet="1" objects="1" scenarios="1"/>
  <mergeCells count="6">
    <mergeCell ref="C22:D22"/>
    <mergeCell ref="F22:G22"/>
    <mergeCell ref="A1:H1"/>
    <mergeCell ref="C4:E4"/>
    <mergeCell ref="F4:H4"/>
    <mergeCell ref="A2:H2"/>
  </mergeCells>
  <phoneticPr fontId="0" type="noConversion"/>
  <printOptions horizontalCentered="1"/>
  <pageMargins left="0.75" right="0.75" top="0.89" bottom="1" header="0.5" footer="0.5"/>
  <pageSetup scale="77" orientation="landscape" r:id="rId1"/>
  <headerFooter alignWithMargins="0">
    <oddHeader>&amp;C&amp;"Times New Roman,Bold"&amp;16ATTACHMENT D, Page &amp;P of &amp;N
EVERGY</oddHeader>
    <oddFooter>&amp;R&amp;1#&amp;"Calibri"&amp;10&amp;KA80000Internal Use 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H1016"/>
  <sheetViews>
    <sheetView view="pageBreakPreview" zoomScale="90" zoomScaleNormal="75" zoomScaleSheetLayoutView="90" workbookViewId="0">
      <selection sqref="A1:H1"/>
    </sheetView>
  </sheetViews>
  <sheetFormatPr defaultColWidth="9.109375" defaultRowHeight="13.2"/>
  <cols>
    <col min="1" max="1" width="7.6640625" style="125" customWidth="1"/>
    <col min="2" max="2" width="70.88671875" style="125" customWidth="1"/>
    <col min="3" max="3" width="11.88671875" style="125" customWidth="1"/>
    <col min="4" max="4" width="15.6640625" style="125" customWidth="1"/>
    <col min="5" max="5" width="15.5546875" style="125" customWidth="1"/>
    <col min="6" max="6" width="15" style="125" customWidth="1"/>
    <col min="7" max="7" width="15.88671875" style="125" bestFit="1" customWidth="1"/>
    <col min="8" max="8" width="16.109375" style="125" customWidth="1"/>
    <col min="9" max="10" width="9.109375" style="380"/>
    <col min="11" max="11" width="9.109375" style="380" customWidth="1"/>
    <col min="12" max="16384" width="9.109375" style="380"/>
  </cols>
  <sheetData>
    <row r="1" spans="1:8" ht="21">
      <c r="A1" s="1713" t="s">
        <v>2979</v>
      </c>
      <c r="B1" s="1713"/>
      <c r="C1" s="1790"/>
      <c r="D1" s="1790"/>
      <c r="E1" s="1790"/>
      <c r="F1" s="1790"/>
      <c r="G1" s="1790"/>
      <c r="H1" s="1790"/>
    </row>
    <row r="2" spans="1:8" ht="19.2">
      <c r="A2" s="1725" t="str">
        <f>' Net Monthly Bill'!A2:B2</f>
        <v>For Contract Year Beginning June 1, 2024, Based on 2023 Data</v>
      </c>
      <c r="B2" s="1725"/>
      <c r="C2" s="1725"/>
      <c r="D2" s="1725"/>
      <c r="E2" s="1725"/>
      <c r="F2" s="1725"/>
      <c r="G2" s="1725"/>
      <c r="H2" s="1725"/>
    </row>
    <row r="3" spans="1:8" ht="19.2">
      <c r="A3" s="666"/>
      <c r="B3" s="666"/>
      <c r="C3" s="666"/>
      <c r="D3" s="666"/>
      <c r="E3" s="666"/>
      <c r="F3" s="666"/>
      <c r="G3" s="666"/>
      <c r="H3" s="666"/>
    </row>
    <row r="4" spans="1:8">
      <c r="A4" s="864"/>
      <c r="B4" s="864"/>
      <c r="C4" s="928" t="s">
        <v>480</v>
      </c>
      <c r="D4" s="928" t="s">
        <v>481</v>
      </c>
      <c r="E4" s="928" t="s">
        <v>482</v>
      </c>
      <c r="F4" s="928" t="s">
        <v>483</v>
      </c>
      <c r="G4" s="928" t="s">
        <v>484</v>
      </c>
      <c r="H4" s="929" t="s">
        <v>884</v>
      </c>
    </row>
    <row r="5" spans="1:8" s="1471" customFormat="1" ht="15.6">
      <c r="A5" s="930"/>
      <c r="B5" s="458"/>
      <c r="C5" s="458"/>
      <c r="D5" s="931" t="s">
        <v>469</v>
      </c>
      <c r="E5" s="931"/>
      <c r="F5" s="931"/>
      <c r="G5" s="931"/>
      <c r="H5" s="931" t="s">
        <v>2250</v>
      </c>
    </row>
    <row r="6" spans="1:8" s="1471" customFormat="1" ht="15.6">
      <c r="A6" s="930"/>
      <c r="B6" s="458"/>
      <c r="C6" s="932" t="s">
        <v>2344</v>
      </c>
      <c r="D6" s="931" t="s">
        <v>655</v>
      </c>
      <c r="E6" s="931" t="s">
        <v>656</v>
      </c>
      <c r="F6" s="931" t="s">
        <v>656</v>
      </c>
      <c r="G6" s="931" t="s">
        <v>656</v>
      </c>
      <c r="H6" s="933" t="s">
        <v>2251</v>
      </c>
    </row>
    <row r="7" spans="1:8" s="1471" customFormat="1" ht="18.600000000000001">
      <c r="A7" s="687" t="s">
        <v>494</v>
      </c>
      <c r="B7" s="934" t="s">
        <v>880</v>
      </c>
      <c r="C7" s="935" t="s">
        <v>2483</v>
      </c>
      <c r="D7" s="936" t="s">
        <v>2251</v>
      </c>
      <c r="E7" s="935" t="s">
        <v>2484</v>
      </c>
      <c r="F7" s="934" t="s">
        <v>515</v>
      </c>
      <c r="G7" s="934" t="s">
        <v>516</v>
      </c>
      <c r="H7" s="937" t="s">
        <v>2349</v>
      </c>
    </row>
    <row r="8" spans="1:8" s="1471" customFormat="1" ht="15.6">
      <c r="A8" s="572">
        <v>1</v>
      </c>
      <c r="B8" s="938" t="s">
        <v>3182</v>
      </c>
      <c r="C8" s="939"/>
      <c r="D8" s="933"/>
      <c r="E8" s="940"/>
      <c r="F8" s="940"/>
      <c r="G8" s="940"/>
      <c r="H8" s="933"/>
    </row>
    <row r="9" spans="1:8" ht="15.6">
      <c r="A9" s="572">
        <f>A8+1</f>
        <v>2</v>
      </c>
      <c r="B9" s="1223" t="s">
        <v>78</v>
      </c>
      <c r="C9" s="1252">
        <v>6.6666666666666666E-2</v>
      </c>
      <c r="D9" s="1253">
        <v>0</v>
      </c>
      <c r="E9" s="1254">
        <v>0</v>
      </c>
      <c r="F9" s="1254">
        <v>0</v>
      </c>
      <c r="G9" s="1254">
        <v>0</v>
      </c>
      <c r="H9" s="941">
        <f t="shared" ref="H9:H30" si="0">+D9+E9+F9+G9</f>
        <v>0</v>
      </c>
    </row>
    <row r="10" spans="1:8" ht="15.6">
      <c r="A10" s="572">
        <f>A9+1</f>
        <v>3</v>
      </c>
      <c r="B10" s="1150" t="s">
        <v>1668</v>
      </c>
      <c r="C10" s="1255">
        <v>0.2</v>
      </c>
      <c r="D10" s="1254">
        <v>0</v>
      </c>
      <c r="E10" s="1254">
        <v>0</v>
      </c>
      <c r="F10" s="1254">
        <v>0</v>
      </c>
      <c r="G10" s="1254">
        <v>0</v>
      </c>
      <c r="H10" s="941">
        <f t="shared" si="0"/>
        <v>0</v>
      </c>
    </row>
    <row r="11" spans="1:8" ht="15.6">
      <c r="A11" s="572">
        <f t="shared" ref="A11:A92" si="1">A10+1</f>
        <v>4</v>
      </c>
      <c r="B11" s="1150" t="s">
        <v>1669</v>
      </c>
      <c r="C11" s="1255">
        <v>0.2</v>
      </c>
      <c r="D11" s="1254">
        <v>0</v>
      </c>
      <c r="E11" s="1254">
        <v>0</v>
      </c>
      <c r="F11" s="1254">
        <v>0</v>
      </c>
      <c r="G11" s="1254">
        <v>0</v>
      </c>
      <c r="H11" s="941">
        <f t="shared" si="0"/>
        <v>0</v>
      </c>
    </row>
    <row r="12" spans="1:8" ht="15.6">
      <c r="A12" s="572">
        <f t="shared" si="1"/>
        <v>5</v>
      </c>
      <c r="B12" s="1150" t="s">
        <v>1670</v>
      </c>
      <c r="C12" s="1255">
        <v>0.2</v>
      </c>
      <c r="D12" s="1254">
        <v>0</v>
      </c>
      <c r="E12" s="1254">
        <v>0</v>
      </c>
      <c r="F12" s="1254">
        <v>0</v>
      </c>
      <c r="G12" s="1254">
        <v>0</v>
      </c>
      <c r="H12" s="941">
        <f t="shared" si="0"/>
        <v>0</v>
      </c>
    </row>
    <row r="13" spans="1:8" ht="15.6">
      <c r="A13" s="572">
        <f t="shared" si="1"/>
        <v>6</v>
      </c>
      <c r="B13" s="1150" t="s">
        <v>1671</v>
      </c>
      <c r="C13" s="1255">
        <v>0.2</v>
      </c>
      <c r="D13" s="1254">
        <v>0</v>
      </c>
      <c r="E13" s="1254">
        <v>0</v>
      </c>
      <c r="F13" s="1254">
        <v>0</v>
      </c>
      <c r="G13" s="1254">
        <v>0</v>
      </c>
      <c r="H13" s="941">
        <f t="shared" si="0"/>
        <v>0</v>
      </c>
    </row>
    <row r="14" spans="1:8" ht="15.6">
      <c r="A14" s="572">
        <f t="shared" si="1"/>
        <v>7</v>
      </c>
      <c r="B14" s="1150" t="s">
        <v>1672</v>
      </c>
      <c r="C14" s="1255">
        <v>0.2</v>
      </c>
      <c r="D14" s="1256">
        <v>0</v>
      </c>
      <c r="E14" s="1254">
        <v>0</v>
      </c>
      <c r="F14" s="1254">
        <v>0</v>
      </c>
      <c r="G14" s="1254">
        <v>0</v>
      </c>
      <c r="H14" s="941">
        <f t="shared" si="0"/>
        <v>0</v>
      </c>
    </row>
    <row r="15" spans="1:8" ht="15.6">
      <c r="A15" s="572">
        <f t="shared" si="1"/>
        <v>8</v>
      </c>
      <c r="B15" s="1150" t="s">
        <v>1673</v>
      </c>
      <c r="C15" s="1255">
        <v>0.2</v>
      </c>
      <c r="D15" s="1254">
        <v>0</v>
      </c>
      <c r="E15" s="1254">
        <v>0</v>
      </c>
      <c r="F15" s="1254">
        <v>0</v>
      </c>
      <c r="G15" s="1254">
        <v>0</v>
      </c>
      <c r="H15" s="941">
        <f t="shared" si="0"/>
        <v>0</v>
      </c>
    </row>
    <row r="16" spans="1:8" ht="15.6">
      <c r="A16" s="572">
        <f t="shared" si="1"/>
        <v>9</v>
      </c>
      <c r="B16" s="1150" t="s">
        <v>1674</v>
      </c>
      <c r="C16" s="1255">
        <v>0.2</v>
      </c>
      <c r="D16" s="1254">
        <v>0</v>
      </c>
      <c r="E16" s="1254">
        <v>0</v>
      </c>
      <c r="F16" s="1254">
        <v>0</v>
      </c>
      <c r="G16" s="1254">
        <v>0</v>
      </c>
      <c r="H16" s="941">
        <f t="shared" si="0"/>
        <v>0</v>
      </c>
    </row>
    <row r="17" spans="1:8" ht="15.6">
      <c r="A17" s="572">
        <f t="shared" si="1"/>
        <v>10</v>
      </c>
      <c r="B17" s="1150" t="s">
        <v>1675</v>
      </c>
      <c r="C17" s="1255">
        <v>0.2</v>
      </c>
      <c r="D17" s="1254">
        <v>0</v>
      </c>
      <c r="E17" s="1254">
        <v>0</v>
      </c>
      <c r="F17" s="1254">
        <v>0</v>
      </c>
      <c r="G17" s="1254">
        <v>0</v>
      </c>
      <c r="H17" s="941">
        <f t="shared" si="0"/>
        <v>0</v>
      </c>
    </row>
    <row r="18" spans="1:8" ht="15.6">
      <c r="A18" s="572">
        <f t="shared" si="1"/>
        <v>11</v>
      </c>
      <c r="B18" s="1150" t="s">
        <v>1676</v>
      </c>
      <c r="C18" s="1255">
        <v>0.2</v>
      </c>
      <c r="D18" s="1254">
        <v>0</v>
      </c>
      <c r="E18" s="1254">
        <v>0</v>
      </c>
      <c r="F18" s="1254">
        <v>0</v>
      </c>
      <c r="G18" s="1254">
        <v>0</v>
      </c>
      <c r="H18" s="941">
        <f t="shared" si="0"/>
        <v>0</v>
      </c>
    </row>
    <row r="19" spans="1:8" ht="15.6">
      <c r="A19" s="572">
        <f t="shared" si="1"/>
        <v>12</v>
      </c>
      <c r="B19" s="1150" t="s">
        <v>1677</v>
      </c>
      <c r="C19" s="1255">
        <v>0.2</v>
      </c>
      <c r="D19" s="1254">
        <v>0</v>
      </c>
      <c r="E19" s="1254">
        <v>0</v>
      </c>
      <c r="F19" s="1254">
        <v>0</v>
      </c>
      <c r="G19" s="1254">
        <v>0</v>
      </c>
      <c r="H19" s="941">
        <f t="shared" si="0"/>
        <v>0</v>
      </c>
    </row>
    <row r="20" spans="1:8" ht="15.6">
      <c r="A20" s="572">
        <f t="shared" si="1"/>
        <v>13</v>
      </c>
      <c r="B20" s="1150" t="s">
        <v>1678</v>
      </c>
      <c r="C20" s="1255">
        <v>0.2</v>
      </c>
      <c r="D20" s="1254">
        <v>0</v>
      </c>
      <c r="E20" s="1254">
        <v>0</v>
      </c>
      <c r="F20" s="1254">
        <v>0</v>
      </c>
      <c r="G20" s="1254">
        <v>0</v>
      </c>
      <c r="H20" s="941">
        <f t="shared" si="0"/>
        <v>0</v>
      </c>
    </row>
    <row r="21" spans="1:8" ht="15.6">
      <c r="A21" s="572">
        <f t="shared" si="1"/>
        <v>14</v>
      </c>
      <c r="B21" s="1150" t="s">
        <v>1679</v>
      </c>
      <c r="C21" s="1255">
        <v>0.2</v>
      </c>
      <c r="D21" s="1254">
        <v>0</v>
      </c>
      <c r="E21" s="1254">
        <v>0</v>
      </c>
      <c r="F21" s="1254">
        <v>0</v>
      </c>
      <c r="G21" s="1254">
        <v>0</v>
      </c>
      <c r="H21" s="941">
        <f t="shared" si="0"/>
        <v>0</v>
      </c>
    </row>
    <row r="22" spans="1:8" ht="15.6">
      <c r="A22" s="572">
        <f t="shared" si="1"/>
        <v>15</v>
      </c>
      <c r="B22" s="1150" t="s">
        <v>1680</v>
      </c>
      <c r="C22" s="1255">
        <v>0.2</v>
      </c>
      <c r="D22" s="1254">
        <v>0</v>
      </c>
      <c r="E22" s="1254">
        <v>0</v>
      </c>
      <c r="F22" s="1254">
        <v>0</v>
      </c>
      <c r="G22" s="1254">
        <v>0</v>
      </c>
      <c r="H22" s="941">
        <f t="shared" si="0"/>
        <v>0</v>
      </c>
    </row>
    <row r="23" spans="1:8" ht="15.6">
      <c r="A23" s="572">
        <f t="shared" si="1"/>
        <v>16</v>
      </c>
      <c r="B23" s="1150" t="s">
        <v>1681</v>
      </c>
      <c r="C23" s="1255">
        <v>0.2</v>
      </c>
      <c r="D23" s="1254">
        <v>0</v>
      </c>
      <c r="E23" s="1254">
        <v>0</v>
      </c>
      <c r="F23" s="1254">
        <v>0</v>
      </c>
      <c r="G23" s="1254">
        <v>0</v>
      </c>
      <c r="H23" s="941">
        <f t="shared" si="0"/>
        <v>0</v>
      </c>
    </row>
    <row r="24" spans="1:8" ht="15.6">
      <c r="A24" s="572">
        <f t="shared" si="1"/>
        <v>17</v>
      </c>
      <c r="B24" s="1150" t="s">
        <v>1682</v>
      </c>
      <c r="C24" s="1255">
        <v>0.2</v>
      </c>
      <c r="D24" s="1254">
        <v>0</v>
      </c>
      <c r="E24" s="1254">
        <v>0</v>
      </c>
      <c r="F24" s="1254">
        <v>0</v>
      </c>
      <c r="G24" s="1254">
        <v>0</v>
      </c>
      <c r="H24" s="941">
        <f t="shared" si="0"/>
        <v>0</v>
      </c>
    </row>
    <row r="25" spans="1:8" ht="15.6">
      <c r="A25" s="572">
        <f t="shared" si="1"/>
        <v>18</v>
      </c>
      <c r="B25" s="1150" t="s">
        <v>885</v>
      </c>
      <c r="C25" s="1255">
        <v>0.2</v>
      </c>
      <c r="D25" s="1254">
        <v>0</v>
      </c>
      <c r="E25" s="1254">
        <v>0</v>
      </c>
      <c r="F25" s="1254">
        <v>0</v>
      </c>
      <c r="G25" s="1254">
        <v>0</v>
      </c>
      <c r="H25" s="941">
        <f t="shared" si="0"/>
        <v>0</v>
      </c>
    </row>
    <row r="26" spans="1:8" ht="15.6">
      <c r="A26" s="572">
        <f t="shared" si="1"/>
        <v>19</v>
      </c>
      <c r="B26" s="1150" t="s">
        <v>1683</v>
      </c>
      <c r="C26" s="1255">
        <v>0.2</v>
      </c>
      <c r="D26" s="1254">
        <v>0</v>
      </c>
      <c r="E26" s="1254">
        <v>0</v>
      </c>
      <c r="F26" s="1254">
        <v>0</v>
      </c>
      <c r="G26" s="1254">
        <v>0</v>
      </c>
      <c r="H26" s="941">
        <f t="shared" si="0"/>
        <v>0</v>
      </c>
    </row>
    <row r="27" spans="1:8" ht="15.6">
      <c r="A27" s="572">
        <f t="shared" si="1"/>
        <v>20</v>
      </c>
      <c r="B27" s="1150" t="s">
        <v>1684</v>
      </c>
      <c r="C27" s="1255">
        <v>0.2</v>
      </c>
      <c r="D27" s="1254">
        <v>0</v>
      </c>
      <c r="E27" s="1254">
        <v>0</v>
      </c>
      <c r="F27" s="628">
        <v>0</v>
      </c>
      <c r="G27" s="1254">
        <v>0</v>
      </c>
      <c r="H27" s="941">
        <f t="shared" si="0"/>
        <v>0</v>
      </c>
    </row>
    <row r="28" spans="1:8" ht="15.6">
      <c r="A28" s="572">
        <f t="shared" si="1"/>
        <v>21</v>
      </c>
      <c r="B28" s="1150" t="s">
        <v>1685</v>
      </c>
      <c r="C28" s="1255">
        <v>0.2</v>
      </c>
      <c r="D28" s="1254">
        <v>0</v>
      </c>
      <c r="E28" s="1254">
        <v>0</v>
      </c>
      <c r="F28" s="1254">
        <v>0</v>
      </c>
      <c r="G28" s="1254">
        <v>0</v>
      </c>
      <c r="H28" s="941">
        <f t="shared" si="0"/>
        <v>0</v>
      </c>
    </row>
    <row r="29" spans="1:8" ht="15.6">
      <c r="A29" s="572">
        <f t="shared" si="1"/>
        <v>22</v>
      </c>
      <c r="B29" s="1150" t="s">
        <v>1686</v>
      </c>
      <c r="C29" s="1255">
        <v>0.2</v>
      </c>
      <c r="D29" s="1254">
        <v>0</v>
      </c>
      <c r="E29" s="1254">
        <v>0</v>
      </c>
      <c r="F29" s="1254">
        <v>0</v>
      </c>
      <c r="G29" s="1254">
        <v>0</v>
      </c>
      <c r="H29" s="941">
        <f t="shared" si="0"/>
        <v>0</v>
      </c>
    </row>
    <row r="30" spans="1:8" ht="15.6">
      <c r="A30" s="572">
        <f t="shared" si="1"/>
        <v>23</v>
      </c>
      <c r="B30" s="1150" t="s">
        <v>1687</v>
      </c>
      <c r="C30" s="1255">
        <v>0.2</v>
      </c>
      <c r="D30" s="1254">
        <v>0</v>
      </c>
      <c r="E30" s="1254">
        <v>0</v>
      </c>
      <c r="F30" s="1254">
        <v>0</v>
      </c>
      <c r="G30" s="1254">
        <v>0</v>
      </c>
      <c r="H30" s="941">
        <f t="shared" si="0"/>
        <v>0</v>
      </c>
    </row>
    <row r="31" spans="1:8" ht="15.6">
      <c r="A31" s="572">
        <f t="shared" si="1"/>
        <v>24</v>
      </c>
      <c r="B31" s="1150" t="s">
        <v>1688</v>
      </c>
      <c r="C31" s="1255">
        <v>0.2</v>
      </c>
      <c r="D31" s="1254">
        <v>0</v>
      </c>
      <c r="E31" s="1254">
        <v>0</v>
      </c>
      <c r="F31" s="1254">
        <v>0</v>
      </c>
      <c r="G31" s="1254">
        <v>0</v>
      </c>
      <c r="H31" s="941">
        <f t="shared" ref="H31:H54" si="2">+D31+E31+F31+G31</f>
        <v>0</v>
      </c>
    </row>
    <row r="32" spans="1:8" ht="15.6">
      <c r="A32" s="572">
        <f t="shared" si="1"/>
        <v>25</v>
      </c>
      <c r="B32" s="1150" t="s">
        <v>1689</v>
      </c>
      <c r="C32" s="1255">
        <v>0.2</v>
      </c>
      <c r="D32" s="1254">
        <v>0</v>
      </c>
      <c r="E32" s="1254">
        <v>0</v>
      </c>
      <c r="F32" s="1254">
        <v>0</v>
      </c>
      <c r="G32" s="1254">
        <v>0</v>
      </c>
      <c r="H32" s="941">
        <f t="shared" si="2"/>
        <v>0</v>
      </c>
    </row>
    <row r="33" spans="1:8" ht="15.6">
      <c r="A33" s="572">
        <f t="shared" si="1"/>
        <v>26</v>
      </c>
      <c r="B33" s="1150" t="s">
        <v>1690</v>
      </c>
      <c r="C33" s="1255">
        <v>0.2</v>
      </c>
      <c r="D33" s="1254">
        <v>0</v>
      </c>
      <c r="E33" s="1254">
        <v>0</v>
      </c>
      <c r="F33" s="1254">
        <v>0</v>
      </c>
      <c r="G33" s="1254">
        <v>0</v>
      </c>
      <c r="H33" s="941">
        <f t="shared" si="2"/>
        <v>0</v>
      </c>
    </row>
    <row r="34" spans="1:8" ht="15.6">
      <c r="A34" s="572">
        <f t="shared" si="1"/>
        <v>27</v>
      </c>
      <c r="B34" s="1150" t="s">
        <v>1691</v>
      </c>
      <c r="C34" s="1255">
        <v>0.2</v>
      </c>
      <c r="D34" s="1254">
        <v>0</v>
      </c>
      <c r="E34" s="1254">
        <v>0</v>
      </c>
      <c r="F34" s="1254">
        <v>0</v>
      </c>
      <c r="G34" s="1254">
        <v>0</v>
      </c>
      <c r="H34" s="941">
        <f t="shared" si="2"/>
        <v>0</v>
      </c>
    </row>
    <row r="35" spans="1:8" ht="15.6">
      <c r="A35" s="572">
        <f t="shared" si="1"/>
        <v>28</v>
      </c>
      <c r="B35" s="1150" t="s">
        <v>1692</v>
      </c>
      <c r="C35" s="1255">
        <v>0.2</v>
      </c>
      <c r="D35" s="1254">
        <v>0</v>
      </c>
      <c r="E35" s="1254">
        <v>0</v>
      </c>
      <c r="F35" s="1254">
        <v>0</v>
      </c>
      <c r="G35" s="1254">
        <v>0</v>
      </c>
      <c r="H35" s="941">
        <f t="shared" si="2"/>
        <v>0</v>
      </c>
    </row>
    <row r="36" spans="1:8" ht="15.6">
      <c r="A36" s="572">
        <f t="shared" si="1"/>
        <v>29</v>
      </c>
      <c r="B36" s="1150" t="s">
        <v>1693</v>
      </c>
      <c r="C36" s="1255">
        <v>0.2</v>
      </c>
      <c r="D36" s="1254">
        <v>0</v>
      </c>
      <c r="E36" s="1254">
        <v>0</v>
      </c>
      <c r="F36" s="1254">
        <v>0</v>
      </c>
      <c r="G36" s="1254">
        <v>0</v>
      </c>
      <c r="H36" s="941">
        <f t="shared" si="2"/>
        <v>0</v>
      </c>
    </row>
    <row r="37" spans="1:8" ht="15.6">
      <c r="A37" s="572">
        <f t="shared" si="1"/>
        <v>30</v>
      </c>
      <c r="B37" s="1150" t="s">
        <v>1694</v>
      </c>
      <c r="C37" s="1255">
        <v>0.2</v>
      </c>
      <c r="D37" s="1254">
        <v>0</v>
      </c>
      <c r="E37" s="1254">
        <v>0</v>
      </c>
      <c r="F37" s="1254">
        <v>0</v>
      </c>
      <c r="G37" s="1254">
        <v>0</v>
      </c>
      <c r="H37" s="941">
        <f t="shared" si="2"/>
        <v>0</v>
      </c>
    </row>
    <row r="38" spans="1:8" ht="15.6">
      <c r="A38" s="572">
        <f t="shared" si="1"/>
        <v>31</v>
      </c>
      <c r="B38" s="1150" t="s">
        <v>1695</v>
      </c>
      <c r="C38" s="1255">
        <v>0.2</v>
      </c>
      <c r="D38" s="1254">
        <v>0</v>
      </c>
      <c r="E38" s="1254">
        <v>0</v>
      </c>
      <c r="F38" s="1254">
        <v>0</v>
      </c>
      <c r="G38" s="1254">
        <v>0</v>
      </c>
      <c r="H38" s="941">
        <f t="shared" si="2"/>
        <v>0</v>
      </c>
    </row>
    <row r="39" spans="1:8" ht="15.6">
      <c r="A39" s="572">
        <f t="shared" si="1"/>
        <v>32</v>
      </c>
      <c r="B39" s="1150" t="s">
        <v>1696</v>
      </c>
      <c r="C39" s="1255">
        <v>0.2</v>
      </c>
      <c r="D39" s="1254">
        <v>0</v>
      </c>
      <c r="E39" s="1254">
        <v>0</v>
      </c>
      <c r="F39" s="1254">
        <v>0</v>
      </c>
      <c r="G39" s="1254">
        <v>0</v>
      </c>
      <c r="H39" s="941">
        <f t="shared" si="2"/>
        <v>0</v>
      </c>
    </row>
    <row r="40" spans="1:8" ht="15.6">
      <c r="A40" s="572">
        <f t="shared" si="1"/>
        <v>33</v>
      </c>
      <c r="B40" s="1150" t="s">
        <v>1697</v>
      </c>
      <c r="C40" s="1255">
        <v>0.2</v>
      </c>
      <c r="D40" s="1254">
        <v>0</v>
      </c>
      <c r="E40" s="1254">
        <v>0</v>
      </c>
      <c r="F40" s="1254">
        <v>0</v>
      </c>
      <c r="G40" s="1254">
        <v>0</v>
      </c>
      <c r="H40" s="941">
        <f t="shared" si="2"/>
        <v>0</v>
      </c>
    </row>
    <row r="41" spans="1:8" ht="15.6">
      <c r="A41" s="572">
        <f t="shared" si="1"/>
        <v>34</v>
      </c>
      <c r="B41" s="1150" t="s">
        <v>1698</v>
      </c>
      <c r="C41" s="1255">
        <v>0.2</v>
      </c>
      <c r="D41" s="1254">
        <v>0</v>
      </c>
      <c r="E41" s="1254">
        <v>0</v>
      </c>
      <c r="F41" s="1254">
        <v>0</v>
      </c>
      <c r="G41" s="1254">
        <v>0</v>
      </c>
      <c r="H41" s="941">
        <f t="shared" si="2"/>
        <v>0</v>
      </c>
    </row>
    <row r="42" spans="1:8" ht="15.6">
      <c r="A42" s="572">
        <f t="shared" si="1"/>
        <v>35</v>
      </c>
      <c r="B42" s="1150" t="s">
        <v>1699</v>
      </c>
      <c r="C42" s="1255">
        <v>0.2</v>
      </c>
      <c r="D42" s="1254">
        <v>0</v>
      </c>
      <c r="E42" s="1254">
        <v>0</v>
      </c>
      <c r="F42" s="1254">
        <v>0</v>
      </c>
      <c r="G42" s="1254">
        <v>0</v>
      </c>
      <c r="H42" s="941">
        <f t="shared" si="2"/>
        <v>0</v>
      </c>
    </row>
    <row r="43" spans="1:8" ht="15.6">
      <c r="A43" s="572">
        <f t="shared" si="1"/>
        <v>36</v>
      </c>
      <c r="B43" s="1150" t="s">
        <v>1700</v>
      </c>
      <c r="C43" s="1255">
        <v>0.2</v>
      </c>
      <c r="D43" s="1254">
        <v>0</v>
      </c>
      <c r="E43" s="1254">
        <v>0</v>
      </c>
      <c r="F43" s="1254">
        <v>0</v>
      </c>
      <c r="G43" s="1254">
        <v>0</v>
      </c>
      <c r="H43" s="941">
        <f t="shared" si="2"/>
        <v>0</v>
      </c>
    </row>
    <row r="44" spans="1:8" ht="15.6">
      <c r="A44" s="572">
        <f t="shared" si="1"/>
        <v>37</v>
      </c>
      <c r="B44" s="1150" t="s">
        <v>1701</v>
      </c>
      <c r="C44" s="1255">
        <v>0.2</v>
      </c>
      <c r="D44" s="1254">
        <v>0</v>
      </c>
      <c r="E44" s="1254">
        <v>0</v>
      </c>
      <c r="F44" s="1254">
        <v>0</v>
      </c>
      <c r="G44" s="1254">
        <v>0</v>
      </c>
      <c r="H44" s="941">
        <f t="shared" si="2"/>
        <v>0</v>
      </c>
    </row>
    <row r="45" spans="1:8" ht="15.6">
      <c r="A45" s="572">
        <f t="shared" si="1"/>
        <v>38</v>
      </c>
      <c r="B45" s="1150" t="s">
        <v>1702</v>
      </c>
      <c r="C45" s="1255">
        <v>0.2</v>
      </c>
      <c r="D45" s="1254">
        <v>0</v>
      </c>
      <c r="E45" s="1254">
        <v>0</v>
      </c>
      <c r="F45" s="1254">
        <v>0</v>
      </c>
      <c r="G45" s="1254">
        <v>0</v>
      </c>
      <c r="H45" s="941">
        <f t="shared" si="2"/>
        <v>0</v>
      </c>
    </row>
    <row r="46" spans="1:8" ht="15.6">
      <c r="A46" s="572">
        <f t="shared" si="1"/>
        <v>39</v>
      </c>
      <c r="B46" s="1150" t="s">
        <v>1702</v>
      </c>
      <c r="C46" s="1255">
        <v>0.2</v>
      </c>
      <c r="D46" s="1254">
        <v>0</v>
      </c>
      <c r="E46" s="1254">
        <v>0</v>
      </c>
      <c r="F46" s="1254">
        <v>0</v>
      </c>
      <c r="G46" s="1254">
        <v>0</v>
      </c>
      <c r="H46" s="941">
        <f t="shared" si="2"/>
        <v>0</v>
      </c>
    </row>
    <row r="47" spans="1:8" ht="15.6">
      <c r="A47" s="572">
        <f t="shared" si="1"/>
        <v>40</v>
      </c>
      <c r="B47" s="1150" t="s">
        <v>1703</v>
      </c>
      <c r="C47" s="1255">
        <v>0.2</v>
      </c>
      <c r="D47" s="1254">
        <v>0</v>
      </c>
      <c r="E47" s="1254">
        <v>0</v>
      </c>
      <c r="F47" s="1254">
        <v>0</v>
      </c>
      <c r="G47" s="1254">
        <v>0</v>
      </c>
      <c r="H47" s="941">
        <f t="shared" si="2"/>
        <v>0</v>
      </c>
    </row>
    <row r="48" spans="1:8" ht="15.6">
      <c r="A48" s="572">
        <f t="shared" si="1"/>
        <v>41</v>
      </c>
      <c r="B48" s="1150" t="s">
        <v>1704</v>
      </c>
      <c r="C48" s="1255">
        <v>0.2</v>
      </c>
      <c r="D48" s="1254">
        <v>0</v>
      </c>
      <c r="E48" s="1254">
        <v>0</v>
      </c>
      <c r="F48" s="1254">
        <v>0</v>
      </c>
      <c r="G48" s="1254">
        <v>0</v>
      </c>
      <c r="H48" s="941">
        <f t="shared" si="2"/>
        <v>0</v>
      </c>
    </row>
    <row r="49" spans="1:8" ht="15.6">
      <c r="A49" s="572">
        <f t="shared" si="1"/>
        <v>42</v>
      </c>
      <c r="B49" s="1150" t="s">
        <v>1705</v>
      </c>
      <c r="C49" s="1255">
        <v>0.2</v>
      </c>
      <c r="D49" s="1254">
        <v>0</v>
      </c>
      <c r="E49" s="1254">
        <v>0</v>
      </c>
      <c r="F49" s="1254">
        <v>0</v>
      </c>
      <c r="G49" s="1254">
        <v>0</v>
      </c>
      <c r="H49" s="941">
        <f t="shared" si="2"/>
        <v>0</v>
      </c>
    </row>
    <row r="50" spans="1:8" ht="15.6">
      <c r="A50" s="572">
        <f t="shared" si="1"/>
        <v>43</v>
      </c>
      <c r="B50" s="1150" t="s">
        <v>1706</v>
      </c>
      <c r="C50" s="1255">
        <v>0.2</v>
      </c>
      <c r="D50" s="1254">
        <v>0</v>
      </c>
      <c r="E50" s="1254">
        <v>0</v>
      </c>
      <c r="F50" s="1254">
        <v>0</v>
      </c>
      <c r="G50" s="1254">
        <v>0</v>
      </c>
      <c r="H50" s="941">
        <f t="shared" si="2"/>
        <v>0</v>
      </c>
    </row>
    <row r="51" spans="1:8" ht="15.6">
      <c r="A51" s="572">
        <f t="shared" si="1"/>
        <v>44</v>
      </c>
      <c r="B51" s="1150" t="s">
        <v>1660</v>
      </c>
      <c r="C51" s="1255">
        <v>0.2</v>
      </c>
      <c r="D51" s="1254">
        <v>0</v>
      </c>
      <c r="E51" s="1254">
        <v>0</v>
      </c>
      <c r="F51" s="1254">
        <v>0</v>
      </c>
      <c r="G51" s="628">
        <v>0</v>
      </c>
      <c r="H51" s="941">
        <f t="shared" si="2"/>
        <v>0</v>
      </c>
    </row>
    <row r="52" spans="1:8" ht="15.6">
      <c r="A52" s="572">
        <f t="shared" si="1"/>
        <v>45</v>
      </c>
      <c r="B52" s="1150" t="s">
        <v>1661</v>
      </c>
      <c r="C52" s="1255">
        <v>0.2</v>
      </c>
      <c r="D52" s="1254">
        <v>0</v>
      </c>
      <c r="E52" s="1254">
        <v>0</v>
      </c>
      <c r="F52" s="1254">
        <v>0</v>
      </c>
      <c r="G52" s="1254">
        <v>0</v>
      </c>
      <c r="H52" s="941">
        <f t="shared" si="2"/>
        <v>0</v>
      </c>
    </row>
    <row r="53" spans="1:8" ht="15.6">
      <c r="A53" s="572">
        <f t="shared" si="1"/>
        <v>46</v>
      </c>
      <c r="B53" s="1150" t="s">
        <v>1662</v>
      </c>
      <c r="C53" s="1255">
        <v>0.2</v>
      </c>
      <c r="D53" s="1254">
        <v>0</v>
      </c>
      <c r="E53" s="1254">
        <v>0</v>
      </c>
      <c r="F53" s="1254">
        <v>0</v>
      </c>
      <c r="G53" s="1254">
        <v>0</v>
      </c>
      <c r="H53" s="941">
        <f t="shared" si="2"/>
        <v>0</v>
      </c>
    </row>
    <row r="54" spans="1:8" ht="15.6">
      <c r="A54" s="572">
        <f t="shared" si="1"/>
        <v>47</v>
      </c>
      <c r="B54" s="1150" t="s">
        <v>1663</v>
      </c>
      <c r="C54" s="1255">
        <v>0.2</v>
      </c>
      <c r="D54" s="1254">
        <v>0</v>
      </c>
      <c r="E54" s="1254">
        <v>0</v>
      </c>
      <c r="F54" s="1254">
        <v>0</v>
      </c>
      <c r="G54" s="1254">
        <v>0</v>
      </c>
      <c r="H54" s="941">
        <f t="shared" si="2"/>
        <v>0</v>
      </c>
    </row>
    <row r="55" spans="1:8" ht="15.6">
      <c r="A55" s="572">
        <f t="shared" si="1"/>
        <v>48</v>
      </c>
      <c r="B55" s="1150" t="s">
        <v>1707</v>
      </c>
      <c r="C55" s="1255">
        <v>0.2</v>
      </c>
      <c r="D55" s="1254">
        <v>0</v>
      </c>
      <c r="E55" s="1254">
        <v>0</v>
      </c>
      <c r="F55" s="1254">
        <v>0</v>
      </c>
      <c r="G55" s="1254">
        <v>0</v>
      </c>
      <c r="H55" s="941">
        <f>+D55+E55+F55+G55</f>
        <v>0</v>
      </c>
    </row>
    <row r="56" spans="1:8" ht="15.6">
      <c r="A56" s="572">
        <f t="shared" si="1"/>
        <v>49</v>
      </c>
      <c r="B56" s="1150" t="s">
        <v>1708</v>
      </c>
      <c r="C56" s="1255">
        <v>0.2</v>
      </c>
      <c r="D56" s="1254">
        <v>0</v>
      </c>
      <c r="E56" s="1254">
        <v>0</v>
      </c>
      <c r="F56" s="1254">
        <v>0</v>
      </c>
      <c r="G56" s="1254">
        <v>0</v>
      </c>
      <c r="H56" s="941">
        <f>+D56+E56+F56+G56</f>
        <v>0</v>
      </c>
    </row>
    <row r="57" spans="1:8" ht="15.6">
      <c r="A57" s="572">
        <f t="shared" si="1"/>
        <v>50</v>
      </c>
      <c r="B57" s="1150" t="s">
        <v>1709</v>
      </c>
      <c r="C57" s="1255">
        <v>0.2</v>
      </c>
      <c r="D57" s="1254">
        <v>0</v>
      </c>
      <c r="E57" s="1254">
        <v>0</v>
      </c>
      <c r="F57" s="1254">
        <v>0</v>
      </c>
      <c r="G57" s="1254">
        <v>0</v>
      </c>
      <c r="H57" s="941">
        <f>+D57+E57+F57+G57</f>
        <v>0</v>
      </c>
    </row>
    <row r="58" spans="1:8" ht="15.6">
      <c r="A58" s="572">
        <f t="shared" si="1"/>
        <v>51</v>
      </c>
      <c r="B58" s="1150" t="s">
        <v>2378</v>
      </c>
      <c r="C58" s="1255">
        <v>0.2</v>
      </c>
      <c r="D58" s="1254">
        <v>0</v>
      </c>
      <c r="E58" s="1254">
        <v>0</v>
      </c>
      <c r="F58" s="1254">
        <v>0</v>
      </c>
      <c r="G58" s="1254">
        <v>0</v>
      </c>
      <c r="H58" s="941">
        <f>+D58+E58+F58+G58</f>
        <v>0</v>
      </c>
    </row>
    <row r="59" spans="1:8" ht="15.6">
      <c r="A59" s="572">
        <f t="shared" ref="A59:A73" si="3">A58+1</f>
        <v>52</v>
      </c>
      <c r="B59" s="1150" t="s">
        <v>1710</v>
      </c>
      <c r="C59" s="1255">
        <v>0.2</v>
      </c>
      <c r="D59" s="1254">
        <v>0</v>
      </c>
      <c r="E59" s="1254">
        <v>0</v>
      </c>
      <c r="F59" s="1254">
        <v>0</v>
      </c>
      <c r="G59" s="1254">
        <v>0</v>
      </c>
      <c r="H59" s="941">
        <f t="shared" ref="H59:H73" si="4">+D59+E59+F59+G59</f>
        <v>0</v>
      </c>
    </row>
    <row r="60" spans="1:8" ht="15.6">
      <c r="A60" s="572">
        <f t="shared" si="3"/>
        <v>53</v>
      </c>
      <c r="B60" s="1150" t="s">
        <v>1711</v>
      </c>
      <c r="C60" s="1255">
        <v>0.2</v>
      </c>
      <c r="D60" s="1254">
        <v>0</v>
      </c>
      <c r="E60" s="1254">
        <v>0</v>
      </c>
      <c r="F60" s="1254">
        <v>0</v>
      </c>
      <c r="G60" s="1254">
        <v>0</v>
      </c>
      <c r="H60" s="941">
        <f t="shared" si="4"/>
        <v>0</v>
      </c>
    </row>
    <row r="61" spans="1:8" ht="15.6">
      <c r="A61" s="572">
        <f t="shared" si="3"/>
        <v>54</v>
      </c>
      <c r="B61" s="1150" t="s">
        <v>1707</v>
      </c>
      <c r="C61" s="1255">
        <v>0.2</v>
      </c>
      <c r="D61" s="1254">
        <v>0</v>
      </c>
      <c r="E61" s="1254">
        <v>0</v>
      </c>
      <c r="F61" s="1254">
        <v>0</v>
      </c>
      <c r="G61" s="1254">
        <v>0</v>
      </c>
      <c r="H61" s="941">
        <f t="shared" si="4"/>
        <v>0</v>
      </c>
    </row>
    <row r="62" spans="1:8" ht="15.6">
      <c r="A62" s="572">
        <f t="shared" si="3"/>
        <v>55</v>
      </c>
      <c r="B62" s="1150" t="s">
        <v>1708</v>
      </c>
      <c r="C62" s="1255">
        <v>0.2</v>
      </c>
      <c r="D62" s="1254">
        <v>0</v>
      </c>
      <c r="E62" s="1254">
        <v>0</v>
      </c>
      <c r="F62" s="1254">
        <v>0</v>
      </c>
      <c r="G62" s="1254">
        <v>0</v>
      </c>
      <c r="H62" s="941">
        <f t="shared" si="4"/>
        <v>0</v>
      </c>
    </row>
    <row r="63" spans="1:8" ht="15.6">
      <c r="A63" s="572">
        <f t="shared" si="3"/>
        <v>56</v>
      </c>
      <c r="B63" s="1150" t="s">
        <v>1712</v>
      </c>
      <c r="C63" s="1255">
        <v>0.2</v>
      </c>
      <c r="D63" s="1254">
        <v>0</v>
      </c>
      <c r="E63" s="1254">
        <v>0</v>
      </c>
      <c r="F63" s="1254">
        <v>0</v>
      </c>
      <c r="G63" s="1254">
        <v>0</v>
      </c>
      <c r="H63" s="941">
        <f t="shared" si="4"/>
        <v>0</v>
      </c>
    </row>
    <row r="64" spans="1:8" ht="15.6">
      <c r="A64" s="572">
        <f t="shared" si="3"/>
        <v>57</v>
      </c>
      <c r="B64" s="1150" t="s">
        <v>1713</v>
      </c>
      <c r="C64" s="1255">
        <v>0.2</v>
      </c>
      <c r="D64" s="1254">
        <v>0</v>
      </c>
      <c r="E64" s="1254">
        <v>0</v>
      </c>
      <c r="F64" s="1254">
        <v>0</v>
      </c>
      <c r="G64" s="1254">
        <v>0</v>
      </c>
      <c r="H64" s="941">
        <f t="shared" si="4"/>
        <v>0</v>
      </c>
    </row>
    <row r="65" spans="1:8" ht="15.6">
      <c r="A65" s="572">
        <f t="shared" si="3"/>
        <v>58</v>
      </c>
      <c r="B65" s="1150" t="s">
        <v>1714</v>
      </c>
      <c r="C65" s="1255">
        <v>0.2</v>
      </c>
      <c r="D65" s="1254">
        <v>0</v>
      </c>
      <c r="E65" s="1254">
        <v>0</v>
      </c>
      <c r="F65" s="1254">
        <v>0</v>
      </c>
      <c r="G65" s="1254">
        <v>0</v>
      </c>
      <c r="H65" s="941">
        <f t="shared" si="4"/>
        <v>0</v>
      </c>
    </row>
    <row r="66" spans="1:8" ht="15.6">
      <c r="A66" s="572">
        <f t="shared" si="3"/>
        <v>59</v>
      </c>
      <c r="B66" s="1150" t="s">
        <v>1715</v>
      </c>
      <c r="C66" s="1255">
        <v>0.2</v>
      </c>
      <c r="D66" s="1254">
        <v>0</v>
      </c>
      <c r="E66" s="1254">
        <v>0</v>
      </c>
      <c r="F66" s="1254">
        <v>0</v>
      </c>
      <c r="G66" s="1254">
        <v>0</v>
      </c>
      <c r="H66" s="941">
        <f t="shared" si="4"/>
        <v>0</v>
      </c>
    </row>
    <row r="67" spans="1:8" ht="15.6">
      <c r="A67" s="572">
        <f t="shared" si="3"/>
        <v>60</v>
      </c>
      <c r="B67" s="1150" t="s">
        <v>1716</v>
      </c>
      <c r="C67" s="1255">
        <v>0.2</v>
      </c>
      <c r="D67" s="1254">
        <v>0</v>
      </c>
      <c r="E67" s="1254">
        <v>0</v>
      </c>
      <c r="F67" s="1254">
        <v>0</v>
      </c>
      <c r="G67" s="1254">
        <v>0</v>
      </c>
      <c r="H67" s="941">
        <f t="shared" si="4"/>
        <v>0</v>
      </c>
    </row>
    <row r="68" spans="1:8" ht="15.6">
      <c r="A68" s="572">
        <f t="shared" si="3"/>
        <v>61</v>
      </c>
      <c r="B68" s="1150" t="s">
        <v>1700</v>
      </c>
      <c r="C68" s="1255">
        <v>0.2</v>
      </c>
      <c r="D68" s="1254">
        <v>108802.58</v>
      </c>
      <c r="E68" s="1254">
        <v>0</v>
      </c>
      <c r="F68" s="1254">
        <v>-108802.58</v>
      </c>
      <c r="G68" s="1254">
        <v>0</v>
      </c>
      <c r="H68" s="941">
        <f t="shared" si="4"/>
        <v>0</v>
      </c>
    </row>
    <row r="69" spans="1:8" ht="15.6">
      <c r="A69" s="572">
        <f t="shared" si="3"/>
        <v>62</v>
      </c>
      <c r="B69" s="1150" t="s">
        <v>1835</v>
      </c>
      <c r="C69" s="1255">
        <v>0.2</v>
      </c>
      <c r="D69" s="1254">
        <v>0</v>
      </c>
      <c r="E69" s="1254">
        <v>0</v>
      </c>
      <c r="F69" s="1254">
        <v>0</v>
      </c>
      <c r="G69" s="1254">
        <v>0</v>
      </c>
      <c r="H69" s="941">
        <f t="shared" si="4"/>
        <v>0</v>
      </c>
    </row>
    <row r="70" spans="1:8" ht="15.6">
      <c r="A70" s="572">
        <f t="shared" si="3"/>
        <v>63</v>
      </c>
      <c r="B70" s="1150" t="s">
        <v>1836</v>
      </c>
      <c r="C70" s="1255">
        <v>0.2</v>
      </c>
      <c r="D70" s="1254">
        <v>0</v>
      </c>
      <c r="E70" s="1254">
        <v>0</v>
      </c>
      <c r="F70" s="1254">
        <v>0</v>
      </c>
      <c r="G70" s="1254">
        <v>0</v>
      </c>
      <c r="H70" s="941">
        <f t="shared" si="4"/>
        <v>0</v>
      </c>
    </row>
    <row r="71" spans="1:8" ht="15.6">
      <c r="A71" s="572">
        <f t="shared" si="3"/>
        <v>64</v>
      </c>
      <c r="B71" s="1150" t="s">
        <v>1837</v>
      </c>
      <c r="C71" s="1255">
        <v>0.2</v>
      </c>
      <c r="D71" s="1254">
        <v>0</v>
      </c>
      <c r="E71" s="1254">
        <v>0</v>
      </c>
      <c r="F71" s="1254">
        <v>0</v>
      </c>
      <c r="G71" s="1254">
        <v>0</v>
      </c>
      <c r="H71" s="941">
        <f t="shared" si="4"/>
        <v>0</v>
      </c>
    </row>
    <row r="72" spans="1:8" ht="15.6">
      <c r="A72" s="572">
        <f t="shared" si="3"/>
        <v>65</v>
      </c>
      <c r="B72" s="1150" t="s">
        <v>1835</v>
      </c>
      <c r="C72" s="1255">
        <v>0.2</v>
      </c>
      <c r="D72" s="1254">
        <v>0</v>
      </c>
      <c r="E72" s="1254">
        <v>0</v>
      </c>
      <c r="F72" s="1254">
        <v>0</v>
      </c>
      <c r="G72" s="1254">
        <v>0</v>
      </c>
      <c r="H72" s="941">
        <f t="shared" si="4"/>
        <v>0</v>
      </c>
    </row>
    <row r="73" spans="1:8" ht="15.6">
      <c r="A73" s="572">
        <f t="shared" si="3"/>
        <v>66</v>
      </c>
      <c r="B73" s="1150" t="s">
        <v>1835</v>
      </c>
      <c r="C73" s="1255">
        <v>0.2</v>
      </c>
      <c r="D73" s="1254">
        <v>0</v>
      </c>
      <c r="E73" s="1254">
        <v>0</v>
      </c>
      <c r="F73" s="1254">
        <v>0</v>
      </c>
      <c r="G73" s="1254">
        <v>0</v>
      </c>
      <c r="H73" s="941">
        <f t="shared" si="4"/>
        <v>0</v>
      </c>
    </row>
    <row r="74" spans="1:8" ht="15.6">
      <c r="A74" s="702"/>
      <c r="B74" s="642"/>
      <c r="C74" s="942"/>
      <c r="D74" s="941"/>
      <c r="E74" s="941"/>
      <c r="F74" s="941"/>
      <c r="G74" s="941"/>
      <c r="H74" s="941"/>
    </row>
    <row r="75" spans="1:8" ht="20.399999999999999">
      <c r="A75" s="1713" t="s">
        <v>2979</v>
      </c>
      <c r="B75" s="1713"/>
      <c r="C75" s="1713"/>
      <c r="D75" s="1713"/>
      <c r="E75" s="1713"/>
      <c r="F75" s="1713"/>
      <c r="G75" s="1713"/>
      <c r="H75" s="1713"/>
    </row>
    <row r="76" spans="1:8" ht="19.2">
      <c r="A76" s="1725" t="str">
        <f>+A2</f>
        <v>For Contract Year Beginning June 1, 2024, Based on 2023 Data</v>
      </c>
      <c r="B76" s="1725"/>
      <c r="C76" s="1725"/>
      <c r="D76" s="1725"/>
      <c r="E76" s="1725"/>
      <c r="F76" s="1725"/>
      <c r="G76" s="1725"/>
      <c r="H76" s="1725"/>
    </row>
    <row r="77" spans="1:8">
      <c r="A77" s="864"/>
      <c r="B77" s="864"/>
      <c r="C77" s="864"/>
      <c r="D77" s="864"/>
      <c r="E77" s="864"/>
      <c r="F77" s="864"/>
      <c r="G77" s="864"/>
      <c r="H77" s="864"/>
    </row>
    <row r="78" spans="1:8">
      <c r="A78" s="864"/>
      <c r="B78" s="864"/>
      <c r="C78" s="928" t="s">
        <v>480</v>
      </c>
      <c r="D78" s="928" t="s">
        <v>481</v>
      </c>
      <c r="E78" s="928" t="s">
        <v>482</v>
      </c>
      <c r="F78" s="928" t="s">
        <v>483</v>
      </c>
      <c r="G78" s="928" t="s">
        <v>484</v>
      </c>
      <c r="H78" s="928" t="s">
        <v>884</v>
      </c>
    </row>
    <row r="79" spans="1:8" ht="15.6">
      <c r="A79" s="458"/>
      <c r="B79" s="458"/>
      <c r="C79" s="458"/>
      <c r="D79" s="931" t="s">
        <v>469</v>
      </c>
      <c r="E79" s="931"/>
      <c r="F79" s="931"/>
      <c r="G79" s="931"/>
      <c r="H79" s="931" t="s">
        <v>2250</v>
      </c>
    </row>
    <row r="80" spans="1:8" ht="15.6">
      <c r="A80" s="458"/>
      <c r="B80" s="458"/>
      <c r="C80" s="932" t="s">
        <v>2344</v>
      </c>
      <c r="D80" s="931" t="s">
        <v>655</v>
      </c>
      <c r="E80" s="931" t="s">
        <v>656</v>
      </c>
      <c r="F80" s="931" t="s">
        <v>656</v>
      </c>
      <c r="G80" s="931" t="s">
        <v>656</v>
      </c>
      <c r="H80" s="933" t="s">
        <v>2251</v>
      </c>
    </row>
    <row r="81" spans="1:8" ht="18.600000000000001">
      <c r="A81" s="687" t="s">
        <v>494</v>
      </c>
      <c r="B81" s="934" t="s">
        <v>880</v>
      </c>
      <c r="C81" s="935" t="s">
        <v>2483</v>
      </c>
      <c r="D81" s="936" t="s">
        <v>2251</v>
      </c>
      <c r="E81" s="935" t="s">
        <v>2484</v>
      </c>
      <c r="F81" s="934" t="s">
        <v>515</v>
      </c>
      <c r="G81" s="934" t="s">
        <v>516</v>
      </c>
      <c r="H81" s="937" t="s">
        <v>2349</v>
      </c>
    </row>
    <row r="82" spans="1:8" ht="15.6">
      <c r="A82" s="572">
        <f>A73+1</f>
        <v>67</v>
      </c>
      <c r="B82" s="1150" t="s">
        <v>1838</v>
      </c>
      <c r="C82" s="1255">
        <v>0.2</v>
      </c>
      <c r="D82" s="1254">
        <v>0</v>
      </c>
      <c r="E82" s="1254">
        <v>0</v>
      </c>
      <c r="F82" s="1254">
        <v>0</v>
      </c>
      <c r="G82" s="1254">
        <v>0</v>
      </c>
      <c r="H82" s="941">
        <f>+D82+E82+F82+G82</f>
        <v>0</v>
      </c>
    </row>
    <row r="83" spans="1:8" ht="15.6">
      <c r="A83" s="572">
        <f>A82+1</f>
        <v>68</v>
      </c>
      <c r="B83" s="1150" t="s">
        <v>1839</v>
      </c>
      <c r="C83" s="1255">
        <v>0.2</v>
      </c>
      <c r="D83" s="1254">
        <v>0</v>
      </c>
      <c r="E83" s="1254">
        <v>0</v>
      </c>
      <c r="F83" s="1254">
        <v>0</v>
      </c>
      <c r="G83" s="1254">
        <v>0</v>
      </c>
      <c r="H83" s="941">
        <f>+D83+E83+F83+G83</f>
        <v>0</v>
      </c>
    </row>
    <row r="84" spans="1:8" ht="15.6">
      <c r="A84" s="572">
        <f>A83+1</f>
        <v>69</v>
      </c>
      <c r="B84" s="1150" t="s">
        <v>1835</v>
      </c>
      <c r="C84" s="1255">
        <v>0.2</v>
      </c>
      <c r="D84" s="1254">
        <v>0</v>
      </c>
      <c r="E84" s="1254">
        <v>0</v>
      </c>
      <c r="F84" s="1254">
        <v>0</v>
      </c>
      <c r="G84" s="1254">
        <v>0</v>
      </c>
      <c r="H84" s="941">
        <f>+D84+E84+F84+G84</f>
        <v>0</v>
      </c>
    </row>
    <row r="85" spans="1:8" ht="15.6">
      <c r="A85" s="572">
        <f>A84+1</f>
        <v>70</v>
      </c>
      <c r="B85" s="1150" t="s">
        <v>1835</v>
      </c>
      <c r="C85" s="1255">
        <v>0.2</v>
      </c>
      <c r="D85" s="1254">
        <v>0</v>
      </c>
      <c r="E85" s="1254">
        <v>0</v>
      </c>
      <c r="F85" s="1254">
        <v>0</v>
      </c>
      <c r="G85" s="1254">
        <v>0</v>
      </c>
      <c r="H85" s="941">
        <f>+D85+E85+F85+G85</f>
        <v>0</v>
      </c>
    </row>
    <row r="86" spans="1:8" ht="15.6">
      <c r="A86" s="572">
        <f>A85+1</f>
        <v>71</v>
      </c>
      <c r="B86" s="1150" t="s">
        <v>1840</v>
      </c>
      <c r="C86" s="1255">
        <v>0.2</v>
      </c>
      <c r="D86" s="1254">
        <v>0</v>
      </c>
      <c r="E86" s="1254">
        <v>0</v>
      </c>
      <c r="F86" s="1254">
        <v>0</v>
      </c>
      <c r="G86" s="1254">
        <v>0</v>
      </c>
      <c r="H86" s="941">
        <f t="shared" ref="H86:H114" si="5">+D86+E86+F86+G86</f>
        <v>0</v>
      </c>
    </row>
    <row r="87" spans="1:8" ht="15.6">
      <c r="A87" s="572">
        <f t="shared" si="1"/>
        <v>72</v>
      </c>
      <c r="B87" s="1150" t="s">
        <v>1841</v>
      </c>
      <c r="C87" s="1255">
        <v>0.2</v>
      </c>
      <c r="D87" s="1254">
        <v>0</v>
      </c>
      <c r="E87" s="1254">
        <v>0</v>
      </c>
      <c r="F87" s="1254">
        <v>0</v>
      </c>
      <c r="G87" s="1254">
        <v>0</v>
      </c>
      <c r="H87" s="941">
        <f t="shared" si="5"/>
        <v>0</v>
      </c>
    </row>
    <row r="88" spans="1:8" ht="15.6">
      <c r="A88" s="959">
        <f t="shared" si="1"/>
        <v>73</v>
      </c>
      <c r="B88" s="1257" t="s">
        <v>1835</v>
      </c>
      <c r="C88" s="1255">
        <v>0.2</v>
      </c>
      <c r="D88" s="1258">
        <v>0</v>
      </c>
      <c r="E88" s="1258">
        <v>0</v>
      </c>
      <c r="F88" s="1258">
        <v>0</v>
      </c>
      <c r="G88" s="1258">
        <v>0</v>
      </c>
      <c r="H88" s="1199">
        <f t="shared" si="5"/>
        <v>0</v>
      </c>
    </row>
    <row r="89" spans="1:8" ht="31.2">
      <c r="A89" s="959">
        <f t="shared" si="1"/>
        <v>74</v>
      </c>
      <c r="B89" s="1257" t="s">
        <v>1842</v>
      </c>
      <c r="C89" s="1259">
        <v>0.2</v>
      </c>
      <c r="D89" s="1258">
        <v>0</v>
      </c>
      <c r="E89" s="1258">
        <v>0</v>
      </c>
      <c r="F89" s="1258">
        <v>0</v>
      </c>
      <c r="G89" s="1258">
        <v>0</v>
      </c>
      <c r="H89" s="1199">
        <f t="shared" si="5"/>
        <v>0</v>
      </c>
    </row>
    <row r="90" spans="1:8" ht="15.6">
      <c r="A90" s="572">
        <f t="shared" si="1"/>
        <v>75</v>
      </c>
      <c r="B90" s="1150" t="s">
        <v>1842</v>
      </c>
      <c r="C90" s="1255">
        <v>0.2</v>
      </c>
      <c r="D90" s="1254">
        <v>0</v>
      </c>
      <c r="E90" s="1254">
        <v>0</v>
      </c>
      <c r="F90" s="1254">
        <v>0</v>
      </c>
      <c r="G90" s="1254">
        <v>0</v>
      </c>
      <c r="H90" s="941">
        <f t="shared" si="5"/>
        <v>0</v>
      </c>
    </row>
    <row r="91" spans="1:8" ht="15.6">
      <c r="A91" s="572">
        <f>A90+1</f>
        <v>76</v>
      </c>
      <c r="B91" s="1150" t="s">
        <v>1843</v>
      </c>
      <c r="C91" s="1255">
        <v>0.2</v>
      </c>
      <c r="D91" s="1254">
        <v>0</v>
      </c>
      <c r="E91" s="1254">
        <v>0</v>
      </c>
      <c r="F91" s="1254">
        <v>0</v>
      </c>
      <c r="G91" s="1254">
        <v>0</v>
      </c>
      <c r="H91" s="941">
        <f t="shared" si="5"/>
        <v>0</v>
      </c>
    </row>
    <row r="92" spans="1:8" ht="31.2">
      <c r="A92" s="959">
        <f t="shared" si="1"/>
        <v>77</v>
      </c>
      <c r="B92" s="1257" t="s">
        <v>1843</v>
      </c>
      <c r="C92" s="1255">
        <v>0.2</v>
      </c>
      <c r="D92" s="1258">
        <v>0</v>
      </c>
      <c r="E92" s="1258">
        <v>0</v>
      </c>
      <c r="F92" s="1258">
        <v>0</v>
      </c>
      <c r="G92" s="1258">
        <v>0</v>
      </c>
      <c r="H92" s="1199">
        <f t="shared" si="5"/>
        <v>0</v>
      </c>
    </row>
    <row r="93" spans="1:8" ht="15.6">
      <c r="A93" s="572">
        <f t="shared" ref="A93:A167" si="6">A92+1</f>
        <v>78</v>
      </c>
      <c r="B93" s="1150" t="s">
        <v>1844</v>
      </c>
      <c r="C93" s="1255">
        <v>0.2</v>
      </c>
      <c r="D93" s="1254">
        <v>0</v>
      </c>
      <c r="E93" s="1254">
        <v>0</v>
      </c>
      <c r="F93" s="1254">
        <v>0</v>
      </c>
      <c r="G93" s="1254">
        <v>0</v>
      </c>
      <c r="H93" s="941">
        <f t="shared" si="5"/>
        <v>0</v>
      </c>
    </row>
    <row r="94" spans="1:8" ht="15.6">
      <c r="A94" s="572">
        <f t="shared" si="6"/>
        <v>79</v>
      </c>
      <c r="B94" s="1150" t="s">
        <v>1845</v>
      </c>
      <c r="C94" s="1255">
        <v>0.2</v>
      </c>
      <c r="D94" s="1254">
        <v>0</v>
      </c>
      <c r="E94" s="1254">
        <v>0</v>
      </c>
      <c r="F94" s="1254">
        <v>0</v>
      </c>
      <c r="G94" s="1254">
        <v>0</v>
      </c>
      <c r="H94" s="941">
        <f t="shared" si="5"/>
        <v>0</v>
      </c>
    </row>
    <row r="95" spans="1:8" ht="15.6">
      <c r="A95" s="572">
        <f t="shared" si="6"/>
        <v>80</v>
      </c>
      <c r="B95" s="1150" t="s">
        <v>1845</v>
      </c>
      <c r="C95" s="1255">
        <v>0.2</v>
      </c>
      <c r="D95" s="1254">
        <v>0</v>
      </c>
      <c r="E95" s="1254">
        <v>0</v>
      </c>
      <c r="F95" s="1254">
        <v>0</v>
      </c>
      <c r="G95" s="1254">
        <v>0</v>
      </c>
      <c r="H95" s="941">
        <f t="shared" si="5"/>
        <v>0</v>
      </c>
    </row>
    <row r="96" spans="1:8" ht="15.6">
      <c r="A96" s="572">
        <f t="shared" si="6"/>
        <v>81</v>
      </c>
      <c r="B96" s="1150" t="s">
        <v>1846</v>
      </c>
      <c r="C96" s="1255">
        <v>0.2</v>
      </c>
      <c r="D96" s="1254">
        <v>0</v>
      </c>
      <c r="E96" s="1254">
        <v>0</v>
      </c>
      <c r="F96" s="1254">
        <v>0</v>
      </c>
      <c r="G96" s="1254">
        <v>0</v>
      </c>
      <c r="H96" s="941">
        <f t="shared" si="5"/>
        <v>0</v>
      </c>
    </row>
    <row r="97" spans="1:8" ht="15.6">
      <c r="A97" s="959">
        <f t="shared" si="6"/>
        <v>82</v>
      </c>
      <c r="B97" s="1257" t="s">
        <v>1835</v>
      </c>
      <c r="C97" s="1255">
        <v>0.2</v>
      </c>
      <c r="D97" s="1258">
        <v>0</v>
      </c>
      <c r="E97" s="1258">
        <v>0</v>
      </c>
      <c r="F97" s="1258">
        <v>0</v>
      </c>
      <c r="G97" s="1258">
        <v>0</v>
      </c>
      <c r="H97" s="1199">
        <f t="shared" si="5"/>
        <v>0</v>
      </c>
    </row>
    <row r="98" spans="1:8" ht="15.6">
      <c r="A98" s="572">
        <f t="shared" si="6"/>
        <v>83</v>
      </c>
      <c r="B98" s="1150" t="s">
        <v>1847</v>
      </c>
      <c r="C98" s="1255">
        <v>0.2</v>
      </c>
      <c r="D98" s="1254">
        <v>0</v>
      </c>
      <c r="E98" s="1254">
        <v>0</v>
      </c>
      <c r="F98" s="1254">
        <v>0</v>
      </c>
      <c r="G98" s="1254">
        <v>0</v>
      </c>
      <c r="H98" s="941">
        <f t="shared" si="5"/>
        <v>0</v>
      </c>
    </row>
    <row r="99" spans="1:8" ht="31.2">
      <c r="A99" s="959">
        <f t="shared" si="6"/>
        <v>84</v>
      </c>
      <c r="B99" s="1257" t="s">
        <v>1848</v>
      </c>
      <c r="C99" s="1255">
        <v>0.2</v>
      </c>
      <c r="D99" s="1258">
        <v>0</v>
      </c>
      <c r="E99" s="1258">
        <v>0</v>
      </c>
      <c r="F99" s="1258">
        <v>0</v>
      </c>
      <c r="G99" s="1258">
        <v>0</v>
      </c>
      <c r="H99" s="1199">
        <f t="shared" si="5"/>
        <v>0</v>
      </c>
    </row>
    <row r="100" spans="1:8" ht="31.2">
      <c r="A100" s="959">
        <f t="shared" si="6"/>
        <v>85</v>
      </c>
      <c r="B100" s="1257" t="s">
        <v>1849</v>
      </c>
      <c r="C100" s="1255">
        <v>0.2</v>
      </c>
      <c r="D100" s="1258">
        <v>0</v>
      </c>
      <c r="E100" s="1258">
        <v>0</v>
      </c>
      <c r="F100" s="1258">
        <v>0</v>
      </c>
      <c r="G100" s="1258">
        <v>0</v>
      </c>
      <c r="H100" s="1199">
        <f t="shared" si="5"/>
        <v>0</v>
      </c>
    </row>
    <row r="101" spans="1:8" ht="15.6">
      <c r="A101" s="959">
        <f t="shared" si="6"/>
        <v>86</v>
      </c>
      <c r="B101" s="1257" t="s">
        <v>1835</v>
      </c>
      <c r="C101" s="1255">
        <v>0.2</v>
      </c>
      <c r="D101" s="1258">
        <v>0</v>
      </c>
      <c r="E101" s="1258">
        <v>0</v>
      </c>
      <c r="F101" s="1258">
        <v>0</v>
      </c>
      <c r="G101" s="1258">
        <v>0</v>
      </c>
      <c r="H101" s="1199">
        <f t="shared" si="5"/>
        <v>0</v>
      </c>
    </row>
    <row r="102" spans="1:8" ht="31.2">
      <c r="A102" s="959">
        <f t="shared" si="6"/>
        <v>87</v>
      </c>
      <c r="B102" s="1257" t="s">
        <v>1850</v>
      </c>
      <c r="C102" s="1255">
        <v>0.2</v>
      </c>
      <c r="D102" s="1258">
        <v>0</v>
      </c>
      <c r="E102" s="1258">
        <v>0</v>
      </c>
      <c r="F102" s="1258">
        <v>0</v>
      </c>
      <c r="G102" s="1258">
        <v>0</v>
      </c>
      <c r="H102" s="1199">
        <f t="shared" si="5"/>
        <v>0</v>
      </c>
    </row>
    <row r="103" spans="1:8" ht="15.6">
      <c r="A103" s="959">
        <f t="shared" si="6"/>
        <v>88</v>
      </c>
      <c r="B103" s="1257" t="s">
        <v>1835</v>
      </c>
      <c r="C103" s="1255">
        <v>0.2</v>
      </c>
      <c r="D103" s="1258">
        <v>0</v>
      </c>
      <c r="E103" s="1258">
        <v>0</v>
      </c>
      <c r="F103" s="1258">
        <v>0</v>
      </c>
      <c r="G103" s="1258">
        <v>0</v>
      </c>
      <c r="H103" s="1199">
        <f t="shared" si="5"/>
        <v>0</v>
      </c>
    </row>
    <row r="104" spans="1:8" ht="15.6">
      <c r="A104" s="959">
        <f t="shared" si="6"/>
        <v>89</v>
      </c>
      <c r="B104" s="1257" t="s">
        <v>1835</v>
      </c>
      <c r="C104" s="1255">
        <v>0.2</v>
      </c>
      <c r="D104" s="1258">
        <v>0</v>
      </c>
      <c r="E104" s="1258">
        <v>0</v>
      </c>
      <c r="F104" s="1258">
        <v>0</v>
      </c>
      <c r="G104" s="1258">
        <v>0</v>
      </c>
      <c r="H104" s="1199">
        <f t="shared" si="5"/>
        <v>0</v>
      </c>
    </row>
    <row r="105" spans="1:8" ht="31.2">
      <c r="A105" s="959">
        <f t="shared" si="6"/>
        <v>90</v>
      </c>
      <c r="B105" s="1257" t="s">
        <v>1851</v>
      </c>
      <c r="C105" s="1255">
        <v>0.2</v>
      </c>
      <c r="D105" s="1258">
        <v>0</v>
      </c>
      <c r="E105" s="1258">
        <v>0</v>
      </c>
      <c r="F105" s="1258">
        <v>0</v>
      </c>
      <c r="G105" s="1258">
        <v>0</v>
      </c>
      <c r="H105" s="1199">
        <f t="shared" si="5"/>
        <v>0</v>
      </c>
    </row>
    <row r="106" spans="1:8" ht="31.2">
      <c r="A106" s="959">
        <f t="shared" si="6"/>
        <v>91</v>
      </c>
      <c r="B106" s="1257" t="s">
        <v>1852</v>
      </c>
      <c r="C106" s="1255">
        <v>0.2</v>
      </c>
      <c r="D106" s="1258">
        <v>0</v>
      </c>
      <c r="E106" s="1258">
        <v>0</v>
      </c>
      <c r="F106" s="1258">
        <v>0</v>
      </c>
      <c r="G106" s="1258">
        <v>0</v>
      </c>
      <c r="H106" s="1199">
        <f t="shared" si="5"/>
        <v>0</v>
      </c>
    </row>
    <row r="107" spans="1:8" ht="31.2">
      <c r="A107" s="959">
        <f t="shared" si="6"/>
        <v>92</v>
      </c>
      <c r="B107" s="1257" t="s">
        <v>1853</v>
      </c>
      <c r="C107" s="1255">
        <v>0.2</v>
      </c>
      <c r="D107" s="1258">
        <v>0</v>
      </c>
      <c r="E107" s="1258">
        <v>0</v>
      </c>
      <c r="F107" s="1258">
        <v>0</v>
      </c>
      <c r="G107" s="1258">
        <v>0</v>
      </c>
      <c r="H107" s="1199">
        <f t="shared" si="5"/>
        <v>0</v>
      </c>
    </row>
    <row r="108" spans="1:8" ht="31.2">
      <c r="A108" s="959">
        <f t="shared" si="6"/>
        <v>93</v>
      </c>
      <c r="B108" s="1257" t="s">
        <v>1853</v>
      </c>
      <c r="C108" s="1255">
        <v>0.2</v>
      </c>
      <c r="D108" s="1258">
        <v>0</v>
      </c>
      <c r="E108" s="1258">
        <v>0</v>
      </c>
      <c r="F108" s="1258">
        <v>0</v>
      </c>
      <c r="G108" s="1258">
        <v>0</v>
      </c>
      <c r="H108" s="1199">
        <f t="shared" si="5"/>
        <v>0</v>
      </c>
    </row>
    <row r="109" spans="1:8" ht="31.2">
      <c r="A109" s="959">
        <f t="shared" si="6"/>
        <v>94</v>
      </c>
      <c r="B109" s="1257" t="s">
        <v>1853</v>
      </c>
      <c r="C109" s="1255">
        <v>0.2</v>
      </c>
      <c r="D109" s="1258">
        <v>0</v>
      </c>
      <c r="E109" s="1258">
        <v>0</v>
      </c>
      <c r="F109" s="1258">
        <v>0</v>
      </c>
      <c r="G109" s="1258">
        <v>0</v>
      </c>
      <c r="H109" s="1199">
        <f t="shared" si="5"/>
        <v>0</v>
      </c>
    </row>
    <row r="110" spans="1:8" ht="31.2">
      <c r="A110" s="959">
        <f t="shared" si="6"/>
        <v>95</v>
      </c>
      <c r="B110" s="1257" t="s">
        <v>1853</v>
      </c>
      <c r="C110" s="1255">
        <v>0.2</v>
      </c>
      <c r="D110" s="1258">
        <v>0</v>
      </c>
      <c r="E110" s="1258">
        <v>0</v>
      </c>
      <c r="F110" s="1258">
        <v>0</v>
      </c>
      <c r="G110" s="1258">
        <v>0</v>
      </c>
      <c r="H110" s="1199">
        <f t="shared" si="5"/>
        <v>0</v>
      </c>
    </row>
    <row r="111" spans="1:8" ht="31.2">
      <c r="A111" s="959">
        <f t="shared" si="6"/>
        <v>96</v>
      </c>
      <c r="B111" s="1257" t="s">
        <v>1853</v>
      </c>
      <c r="C111" s="1255">
        <v>0.2</v>
      </c>
      <c r="D111" s="1258">
        <v>0</v>
      </c>
      <c r="E111" s="1258">
        <v>0</v>
      </c>
      <c r="F111" s="1258">
        <v>0</v>
      </c>
      <c r="G111" s="1258">
        <v>0</v>
      </c>
      <c r="H111" s="1199">
        <f t="shared" si="5"/>
        <v>0</v>
      </c>
    </row>
    <row r="112" spans="1:8" ht="15.6">
      <c r="A112" s="959">
        <f t="shared" si="6"/>
        <v>97</v>
      </c>
      <c r="B112" s="1257" t="s">
        <v>1854</v>
      </c>
      <c r="C112" s="1255">
        <v>0.2</v>
      </c>
      <c r="D112" s="1258">
        <v>0</v>
      </c>
      <c r="E112" s="1258">
        <v>0</v>
      </c>
      <c r="F112" s="1258">
        <v>0</v>
      </c>
      <c r="G112" s="1258">
        <v>0</v>
      </c>
      <c r="H112" s="1199">
        <f t="shared" si="5"/>
        <v>0</v>
      </c>
    </row>
    <row r="113" spans="1:8" ht="15.6">
      <c r="A113" s="959">
        <f t="shared" si="6"/>
        <v>98</v>
      </c>
      <c r="B113" s="1257" t="s">
        <v>1854</v>
      </c>
      <c r="C113" s="1255">
        <v>0.2</v>
      </c>
      <c r="D113" s="1258">
        <v>0</v>
      </c>
      <c r="E113" s="1258">
        <v>0</v>
      </c>
      <c r="F113" s="1258">
        <v>0</v>
      </c>
      <c r="G113" s="1258">
        <v>0</v>
      </c>
      <c r="H113" s="1199">
        <f t="shared" si="5"/>
        <v>0</v>
      </c>
    </row>
    <row r="114" spans="1:8" ht="15.6">
      <c r="A114" s="959">
        <f t="shared" si="6"/>
        <v>99</v>
      </c>
      <c r="B114" s="1257" t="s">
        <v>1854</v>
      </c>
      <c r="C114" s="1255">
        <v>0.2</v>
      </c>
      <c r="D114" s="1258">
        <v>0</v>
      </c>
      <c r="E114" s="1258">
        <v>0</v>
      </c>
      <c r="F114" s="1258">
        <v>0</v>
      </c>
      <c r="G114" s="1258">
        <v>0</v>
      </c>
      <c r="H114" s="1199">
        <f t="shared" si="5"/>
        <v>0</v>
      </c>
    </row>
    <row r="115" spans="1:8" ht="15.6">
      <c r="A115" s="959">
        <f t="shared" ref="A115:A130" si="7">A114+1</f>
        <v>100</v>
      </c>
      <c r="B115" s="1257" t="s">
        <v>1835</v>
      </c>
      <c r="C115" s="1255">
        <v>0.2</v>
      </c>
      <c r="D115" s="1258">
        <v>0</v>
      </c>
      <c r="E115" s="1258">
        <v>0</v>
      </c>
      <c r="F115" s="1258">
        <v>0</v>
      </c>
      <c r="G115" s="1258">
        <v>0</v>
      </c>
      <c r="H115" s="1199">
        <f t="shared" ref="H115:H130" si="8">+D115+E115+F115+G115</f>
        <v>0</v>
      </c>
    </row>
    <row r="116" spans="1:8" ht="15.6">
      <c r="A116" s="959">
        <f t="shared" si="7"/>
        <v>101</v>
      </c>
      <c r="B116" s="1257" t="s">
        <v>1835</v>
      </c>
      <c r="C116" s="1255">
        <v>0.2</v>
      </c>
      <c r="D116" s="1258">
        <v>0</v>
      </c>
      <c r="E116" s="1258">
        <v>0</v>
      </c>
      <c r="F116" s="1258">
        <v>0</v>
      </c>
      <c r="G116" s="1258">
        <v>0</v>
      </c>
      <c r="H116" s="1199">
        <f t="shared" si="8"/>
        <v>0</v>
      </c>
    </row>
    <row r="117" spans="1:8" ht="15.6">
      <c r="A117" s="959">
        <f t="shared" si="7"/>
        <v>102</v>
      </c>
      <c r="B117" s="1257" t="s">
        <v>1835</v>
      </c>
      <c r="C117" s="1255">
        <v>0.2</v>
      </c>
      <c r="D117" s="1258">
        <v>0</v>
      </c>
      <c r="E117" s="1258">
        <v>0</v>
      </c>
      <c r="F117" s="1258">
        <v>0</v>
      </c>
      <c r="G117" s="1258">
        <v>0</v>
      </c>
      <c r="H117" s="1199">
        <f t="shared" si="8"/>
        <v>0</v>
      </c>
    </row>
    <row r="118" spans="1:8" ht="15.6">
      <c r="A118" s="959">
        <f t="shared" si="7"/>
        <v>103</v>
      </c>
      <c r="B118" s="1257" t="s">
        <v>1835</v>
      </c>
      <c r="C118" s="1255">
        <v>0.2</v>
      </c>
      <c r="D118" s="1258">
        <v>0</v>
      </c>
      <c r="E118" s="1258">
        <v>0</v>
      </c>
      <c r="F118" s="1258">
        <v>0</v>
      </c>
      <c r="G118" s="1258">
        <v>0</v>
      </c>
      <c r="H118" s="1199">
        <f t="shared" si="8"/>
        <v>0</v>
      </c>
    </row>
    <row r="119" spans="1:8" ht="15.6">
      <c r="A119" s="959">
        <f t="shared" si="7"/>
        <v>104</v>
      </c>
      <c r="B119" s="1257" t="s">
        <v>1835</v>
      </c>
      <c r="C119" s="1255">
        <v>0.2</v>
      </c>
      <c r="D119" s="1258">
        <v>0</v>
      </c>
      <c r="E119" s="1258">
        <v>0</v>
      </c>
      <c r="F119" s="1258">
        <v>0</v>
      </c>
      <c r="G119" s="1258">
        <v>0</v>
      </c>
      <c r="H119" s="1199">
        <f t="shared" si="8"/>
        <v>0</v>
      </c>
    </row>
    <row r="120" spans="1:8" ht="15.6">
      <c r="A120" s="959">
        <f t="shared" si="7"/>
        <v>105</v>
      </c>
      <c r="B120" s="1257" t="s">
        <v>1855</v>
      </c>
      <c r="C120" s="1255">
        <v>0.2</v>
      </c>
      <c r="D120" s="1258">
        <v>0</v>
      </c>
      <c r="E120" s="1258">
        <v>0</v>
      </c>
      <c r="F120" s="1258">
        <v>0</v>
      </c>
      <c r="G120" s="1258">
        <v>0</v>
      </c>
      <c r="H120" s="1199">
        <f t="shared" si="8"/>
        <v>0</v>
      </c>
    </row>
    <row r="121" spans="1:8" ht="15.6">
      <c r="A121" s="959">
        <f t="shared" si="7"/>
        <v>106</v>
      </c>
      <c r="B121" s="1257" t="s">
        <v>1856</v>
      </c>
      <c r="C121" s="1255">
        <v>0.2</v>
      </c>
      <c r="D121" s="1258">
        <v>0</v>
      </c>
      <c r="E121" s="1258">
        <v>0</v>
      </c>
      <c r="F121" s="1258">
        <v>0</v>
      </c>
      <c r="G121" s="1258">
        <v>0</v>
      </c>
      <c r="H121" s="1199">
        <f t="shared" si="8"/>
        <v>0</v>
      </c>
    </row>
    <row r="122" spans="1:8" ht="15.6">
      <c r="A122" s="959">
        <f t="shared" si="7"/>
        <v>107</v>
      </c>
      <c r="B122" s="1257" t="s">
        <v>1835</v>
      </c>
      <c r="C122" s="1255">
        <v>0.2</v>
      </c>
      <c r="D122" s="1258">
        <v>0</v>
      </c>
      <c r="E122" s="1258">
        <v>0</v>
      </c>
      <c r="F122" s="1258">
        <v>0</v>
      </c>
      <c r="G122" s="1258">
        <v>0</v>
      </c>
      <c r="H122" s="1199">
        <f t="shared" si="8"/>
        <v>0</v>
      </c>
    </row>
    <row r="123" spans="1:8" ht="15.6">
      <c r="A123" s="959">
        <f t="shared" si="7"/>
        <v>108</v>
      </c>
      <c r="B123" s="1257" t="s">
        <v>1835</v>
      </c>
      <c r="C123" s="1255">
        <v>0.2</v>
      </c>
      <c r="D123" s="1258">
        <v>0</v>
      </c>
      <c r="E123" s="1258">
        <v>0</v>
      </c>
      <c r="F123" s="1258">
        <v>0</v>
      </c>
      <c r="G123" s="1258">
        <v>0</v>
      </c>
      <c r="H123" s="1199">
        <f t="shared" si="8"/>
        <v>0</v>
      </c>
    </row>
    <row r="124" spans="1:8" ht="46.8">
      <c r="A124" s="959">
        <f t="shared" si="7"/>
        <v>109</v>
      </c>
      <c r="B124" s="1257" t="s">
        <v>1857</v>
      </c>
      <c r="C124" s="1259">
        <v>0.2</v>
      </c>
      <c r="D124" s="1258">
        <v>0</v>
      </c>
      <c r="E124" s="1258">
        <v>0</v>
      </c>
      <c r="F124" s="1258">
        <v>0</v>
      </c>
      <c r="G124" s="1258">
        <v>0</v>
      </c>
      <c r="H124" s="1199">
        <f t="shared" si="8"/>
        <v>0</v>
      </c>
    </row>
    <row r="125" spans="1:8" ht="15.6">
      <c r="A125" s="959">
        <f t="shared" si="7"/>
        <v>110</v>
      </c>
      <c r="B125" s="1257" t="s">
        <v>1835</v>
      </c>
      <c r="C125" s="1255">
        <v>0.2</v>
      </c>
      <c r="D125" s="1258">
        <v>0</v>
      </c>
      <c r="E125" s="1258">
        <v>0</v>
      </c>
      <c r="F125" s="1258">
        <v>0</v>
      </c>
      <c r="G125" s="1258">
        <v>0</v>
      </c>
      <c r="H125" s="1199">
        <f t="shared" si="8"/>
        <v>0</v>
      </c>
    </row>
    <row r="126" spans="1:8" ht="46.8">
      <c r="A126" s="959">
        <f t="shared" si="7"/>
        <v>111</v>
      </c>
      <c r="B126" s="1257" t="s">
        <v>1858</v>
      </c>
      <c r="C126" s="1255">
        <v>0.2</v>
      </c>
      <c r="D126" s="1258">
        <v>0</v>
      </c>
      <c r="E126" s="1258">
        <v>0</v>
      </c>
      <c r="F126" s="1258">
        <v>0</v>
      </c>
      <c r="G126" s="1258">
        <v>0</v>
      </c>
      <c r="H126" s="1199">
        <f t="shared" si="8"/>
        <v>0</v>
      </c>
    </row>
    <row r="127" spans="1:8" ht="15.6">
      <c r="A127" s="959">
        <f t="shared" si="7"/>
        <v>112</v>
      </c>
      <c r="B127" s="1257" t="s">
        <v>1835</v>
      </c>
      <c r="C127" s="1255">
        <v>0.2</v>
      </c>
      <c r="D127" s="1258">
        <v>0</v>
      </c>
      <c r="E127" s="1258">
        <v>0</v>
      </c>
      <c r="F127" s="1258">
        <v>0</v>
      </c>
      <c r="G127" s="1258">
        <v>0</v>
      </c>
      <c r="H127" s="1199">
        <f t="shared" si="8"/>
        <v>0</v>
      </c>
    </row>
    <row r="128" spans="1:8" ht="15.6">
      <c r="A128" s="959">
        <f t="shared" si="7"/>
        <v>113</v>
      </c>
      <c r="B128" s="1257" t="s">
        <v>1859</v>
      </c>
      <c r="C128" s="1255">
        <v>0.2</v>
      </c>
      <c r="D128" s="1258">
        <v>0</v>
      </c>
      <c r="E128" s="1258">
        <v>0</v>
      </c>
      <c r="F128" s="1258">
        <v>0</v>
      </c>
      <c r="G128" s="1258">
        <v>0</v>
      </c>
      <c r="H128" s="1199">
        <f t="shared" si="8"/>
        <v>0</v>
      </c>
    </row>
    <row r="129" spans="1:8" ht="31.2">
      <c r="A129" s="959">
        <f t="shared" si="7"/>
        <v>114</v>
      </c>
      <c r="B129" s="1257" t="s">
        <v>1860</v>
      </c>
      <c r="C129" s="1255">
        <v>0.2</v>
      </c>
      <c r="D129" s="1258">
        <v>0</v>
      </c>
      <c r="E129" s="1258">
        <v>0</v>
      </c>
      <c r="F129" s="1258">
        <v>0</v>
      </c>
      <c r="G129" s="1258">
        <v>0</v>
      </c>
      <c r="H129" s="1199">
        <f t="shared" si="8"/>
        <v>0</v>
      </c>
    </row>
    <row r="130" spans="1:8" ht="15.6">
      <c r="A130" s="959">
        <f t="shared" si="7"/>
        <v>115</v>
      </c>
      <c r="B130" s="1257" t="s">
        <v>1835</v>
      </c>
      <c r="C130" s="1255">
        <v>0.2</v>
      </c>
      <c r="D130" s="1258">
        <v>0</v>
      </c>
      <c r="E130" s="1258">
        <v>0</v>
      </c>
      <c r="F130" s="1258">
        <v>0</v>
      </c>
      <c r="G130" s="1258">
        <v>0</v>
      </c>
      <c r="H130" s="1199">
        <f t="shared" si="8"/>
        <v>0</v>
      </c>
    </row>
    <row r="131" spans="1:8" ht="15.6">
      <c r="A131" s="702"/>
      <c r="B131" s="642"/>
      <c r="C131" s="942"/>
      <c r="D131" s="941"/>
      <c r="E131" s="941"/>
      <c r="F131" s="941"/>
      <c r="G131" s="941"/>
      <c r="H131" s="941"/>
    </row>
    <row r="132" spans="1:8" ht="20.399999999999999">
      <c r="A132" s="1713" t="s">
        <v>2979</v>
      </c>
      <c r="B132" s="1713"/>
      <c r="C132" s="1713"/>
      <c r="D132" s="1713"/>
      <c r="E132" s="1713"/>
      <c r="F132" s="1713"/>
      <c r="G132" s="1713"/>
      <c r="H132" s="1713"/>
    </row>
    <row r="133" spans="1:8" ht="19.2">
      <c r="A133" s="1725" t="str">
        <f>+A76</f>
        <v>For Contract Year Beginning June 1, 2024, Based on 2023 Data</v>
      </c>
      <c r="B133" s="1725"/>
      <c r="C133" s="1725"/>
      <c r="D133" s="1725"/>
      <c r="E133" s="1725"/>
      <c r="F133" s="1725"/>
      <c r="G133" s="1725"/>
      <c r="H133" s="1725"/>
    </row>
    <row r="134" spans="1:8">
      <c r="A134" s="864"/>
      <c r="B134" s="864"/>
      <c r="C134" s="864"/>
      <c r="D134" s="864"/>
      <c r="E134" s="864"/>
      <c r="F134" s="864"/>
      <c r="G134" s="864"/>
      <c r="H134" s="864"/>
    </row>
    <row r="135" spans="1:8">
      <c r="A135" s="864"/>
      <c r="B135" s="864"/>
      <c r="C135" s="928" t="s">
        <v>480</v>
      </c>
      <c r="D135" s="928" t="s">
        <v>481</v>
      </c>
      <c r="E135" s="928" t="s">
        <v>482</v>
      </c>
      <c r="F135" s="928" t="s">
        <v>483</v>
      </c>
      <c r="G135" s="928" t="s">
        <v>484</v>
      </c>
      <c r="H135" s="928" t="s">
        <v>884</v>
      </c>
    </row>
    <row r="136" spans="1:8" ht="15.6">
      <c r="A136" s="458"/>
      <c r="B136" s="458"/>
      <c r="C136" s="458"/>
      <c r="D136" s="931" t="s">
        <v>469</v>
      </c>
      <c r="E136" s="931"/>
      <c r="F136" s="931"/>
      <c r="G136" s="931"/>
      <c r="H136" s="931" t="s">
        <v>2250</v>
      </c>
    </row>
    <row r="137" spans="1:8" ht="15.6">
      <c r="A137" s="458"/>
      <c r="B137" s="458"/>
      <c r="C137" s="932" t="s">
        <v>2344</v>
      </c>
      <c r="D137" s="931" t="s">
        <v>655</v>
      </c>
      <c r="E137" s="931" t="s">
        <v>656</v>
      </c>
      <c r="F137" s="931" t="s">
        <v>656</v>
      </c>
      <c r="G137" s="931" t="s">
        <v>656</v>
      </c>
      <c r="H137" s="933" t="s">
        <v>2251</v>
      </c>
    </row>
    <row r="138" spans="1:8" ht="18.600000000000001">
      <c r="A138" s="687" t="s">
        <v>494</v>
      </c>
      <c r="B138" s="934" t="s">
        <v>880</v>
      </c>
      <c r="C138" s="935" t="s">
        <v>2483</v>
      </c>
      <c r="D138" s="936" t="s">
        <v>2251</v>
      </c>
      <c r="E138" s="935" t="s">
        <v>2484</v>
      </c>
      <c r="F138" s="934" t="s">
        <v>515</v>
      </c>
      <c r="G138" s="934" t="s">
        <v>516</v>
      </c>
      <c r="H138" s="937" t="s">
        <v>2349</v>
      </c>
    </row>
    <row r="139" spans="1:8" ht="31.2">
      <c r="A139" s="959">
        <f>A130+1</f>
        <v>116</v>
      </c>
      <c r="B139" s="1257" t="s">
        <v>1861</v>
      </c>
      <c r="C139" s="1259">
        <v>0.2</v>
      </c>
      <c r="D139" s="1258">
        <v>0</v>
      </c>
      <c r="E139" s="1258">
        <v>0</v>
      </c>
      <c r="F139" s="1258">
        <v>0</v>
      </c>
      <c r="G139" s="1258">
        <v>0</v>
      </c>
      <c r="H139" s="1199">
        <f t="shared" ref="H139:H144" si="9">+D139+E139+F139+G139</f>
        <v>0</v>
      </c>
    </row>
    <row r="140" spans="1:8" ht="31.2">
      <c r="A140" s="959">
        <f t="shared" ref="A140:A147" si="10">A139+1</f>
        <v>117</v>
      </c>
      <c r="B140" s="1257" t="s">
        <v>1861</v>
      </c>
      <c r="C140" s="1259">
        <v>0.2</v>
      </c>
      <c r="D140" s="1258">
        <v>0</v>
      </c>
      <c r="E140" s="1258">
        <v>0</v>
      </c>
      <c r="F140" s="1258">
        <v>0</v>
      </c>
      <c r="G140" s="1258">
        <v>0</v>
      </c>
      <c r="H140" s="1199">
        <f t="shared" si="9"/>
        <v>0</v>
      </c>
    </row>
    <row r="141" spans="1:8" ht="15.6">
      <c r="A141" s="959">
        <f t="shared" si="10"/>
        <v>118</v>
      </c>
      <c r="B141" s="1257" t="s">
        <v>1835</v>
      </c>
      <c r="C141" s="1255">
        <v>0.2</v>
      </c>
      <c r="D141" s="1258">
        <v>0</v>
      </c>
      <c r="E141" s="1258">
        <v>0</v>
      </c>
      <c r="F141" s="1258">
        <v>0</v>
      </c>
      <c r="G141" s="1258">
        <v>0</v>
      </c>
      <c r="H141" s="1199">
        <f t="shared" si="9"/>
        <v>0</v>
      </c>
    </row>
    <row r="142" spans="1:8" ht="15.6">
      <c r="A142" s="959">
        <f t="shared" si="10"/>
        <v>119</v>
      </c>
      <c r="B142" s="1257" t="s">
        <v>1862</v>
      </c>
      <c r="C142" s="1255">
        <v>0.2</v>
      </c>
      <c r="D142" s="1258">
        <v>0</v>
      </c>
      <c r="E142" s="1258">
        <v>0</v>
      </c>
      <c r="F142" s="1258">
        <v>0</v>
      </c>
      <c r="G142" s="1258">
        <v>0</v>
      </c>
      <c r="H142" s="1199">
        <f t="shared" si="9"/>
        <v>0</v>
      </c>
    </row>
    <row r="143" spans="1:8" ht="15.6">
      <c r="A143" s="959">
        <f t="shared" si="10"/>
        <v>120</v>
      </c>
      <c r="B143" s="1257" t="s">
        <v>1835</v>
      </c>
      <c r="C143" s="1255">
        <v>0.2</v>
      </c>
      <c r="D143" s="1258">
        <v>0</v>
      </c>
      <c r="E143" s="1258">
        <v>0</v>
      </c>
      <c r="F143" s="1258">
        <v>0</v>
      </c>
      <c r="G143" s="1258">
        <v>0</v>
      </c>
      <c r="H143" s="1199">
        <f t="shared" si="9"/>
        <v>0</v>
      </c>
    </row>
    <row r="144" spans="1:8" ht="31.2">
      <c r="A144" s="959">
        <f t="shared" si="10"/>
        <v>121</v>
      </c>
      <c r="B144" s="1257" t="s">
        <v>1863</v>
      </c>
      <c r="C144" s="1259">
        <v>0.2</v>
      </c>
      <c r="D144" s="1258">
        <v>0</v>
      </c>
      <c r="E144" s="1258">
        <v>0</v>
      </c>
      <c r="F144" s="1258">
        <v>0</v>
      </c>
      <c r="G144" s="1258">
        <v>0</v>
      </c>
      <c r="H144" s="1199">
        <f t="shared" si="9"/>
        <v>0</v>
      </c>
    </row>
    <row r="145" spans="1:8" ht="15.6">
      <c r="A145" s="959">
        <f t="shared" si="10"/>
        <v>122</v>
      </c>
      <c r="B145" s="1257" t="s">
        <v>1835</v>
      </c>
      <c r="C145" s="1255">
        <v>0.2</v>
      </c>
      <c r="D145" s="1258">
        <v>0</v>
      </c>
      <c r="E145" s="1258">
        <v>0</v>
      </c>
      <c r="F145" s="1258">
        <v>0</v>
      </c>
      <c r="G145" s="1258">
        <v>0</v>
      </c>
      <c r="H145" s="1199">
        <f t="shared" ref="H145:H155" si="11">+D145+E145+F145+G145</f>
        <v>0</v>
      </c>
    </row>
    <row r="146" spans="1:8" ht="15.6">
      <c r="A146" s="572">
        <f t="shared" si="10"/>
        <v>123</v>
      </c>
      <c r="B146" s="1150" t="s">
        <v>2379</v>
      </c>
      <c r="C146" s="1255">
        <v>0.2</v>
      </c>
      <c r="D146" s="1254">
        <v>0</v>
      </c>
      <c r="E146" s="1254">
        <v>0</v>
      </c>
      <c r="F146" s="1254">
        <v>0</v>
      </c>
      <c r="G146" s="1254">
        <v>0</v>
      </c>
      <c r="H146" s="941">
        <f t="shared" si="11"/>
        <v>0</v>
      </c>
    </row>
    <row r="147" spans="1:8" ht="15.6">
      <c r="A147" s="572">
        <f t="shared" si="10"/>
        <v>124</v>
      </c>
      <c r="B147" s="1150" t="s">
        <v>2379</v>
      </c>
      <c r="C147" s="1255">
        <v>0.2</v>
      </c>
      <c r="D147" s="1254">
        <v>0</v>
      </c>
      <c r="E147" s="1254">
        <v>0</v>
      </c>
      <c r="F147" s="1254">
        <v>0</v>
      </c>
      <c r="G147" s="1254">
        <v>0</v>
      </c>
      <c r="H147" s="941">
        <f t="shared" si="11"/>
        <v>0</v>
      </c>
    </row>
    <row r="148" spans="1:8" ht="15.6">
      <c r="A148" s="572">
        <f t="shared" si="6"/>
        <v>125</v>
      </c>
      <c r="B148" s="1150" t="s">
        <v>2380</v>
      </c>
      <c r="C148" s="1255">
        <v>0.2</v>
      </c>
      <c r="D148" s="1254">
        <v>0</v>
      </c>
      <c r="E148" s="1254">
        <v>0</v>
      </c>
      <c r="F148" s="1254">
        <v>0</v>
      </c>
      <c r="G148" s="1254">
        <v>0</v>
      </c>
      <c r="H148" s="941">
        <f t="shared" si="11"/>
        <v>0</v>
      </c>
    </row>
    <row r="149" spans="1:8" ht="15.6">
      <c r="A149" s="572">
        <f t="shared" si="6"/>
        <v>126</v>
      </c>
      <c r="B149" s="1150" t="s">
        <v>2381</v>
      </c>
      <c r="C149" s="1255">
        <v>0.2</v>
      </c>
      <c r="D149" s="1254">
        <v>0</v>
      </c>
      <c r="E149" s="1254">
        <v>0</v>
      </c>
      <c r="F149" s="1254">
        <v>0</v>
      </c>
      <c r="G149" s="1254">
        <v>0</v>
      </c>
      <c r="H149" s="941">
        <f t="shared" si="11"/>
        <v>0</v>
      </c>
    </row>
    <row r="150" spans="1:8" ht="15.6">
      <c r="A150" s="572">
        <f t="shared" si="6"/>
        <v>127</v>
      </c>
      <c r="B150" s="1150" t="s">
        <v>2382</v>
      </c>
      <c r="C150" s="1255">
        <v>0.2</v>
      </c>
      <c r="D150" s="1254">
        <v>0</v>
      </c>
      <c r="E150" s="1254">
        <v>0</v>
      </c>
      <c r="F150" s="1254">
        <v>0</v>
      </c>
      <c r="G150" s="1254">
        <v>0</v>
      </c>
      <c r="H150" s="941">
        <f t="shared" si="11"/>
        <v>0</v>
      </c>
    </row>
    <row r="151" spans="1:8" ht="31.2">
      <c r="A151" s="572">
        <f t="shared" si="6"/>
        <v>128</v>
      </c>
      <c r="B151" s="1260" t="s">
        <v>2383</v>
      </c>
      <c r="C151" s="1255">
        <v>0.2</v>
      </c>
      <c r="D151" s="1254">
        <v>0</v>
      </c>
      <c r="E151" s="1254">
        <v>0</v>
      </c>
      <c r="F151" s="1254">
        <v>0</v>
      </c>
      <c r="G151" s="1254">
        <v>0</v>
      </c>
      <c r="H151" s="941">
        <f t="shared" si="11"/>
        <v>0</v>
      </c>
    </row>
    <row r="152" spans="1:8" ht="31.2">
      <c r="A152" s="572">
        <f t="shared" si="6"/>
        <v>129</v>
      </c>
      <c r="B152" s="1260" t="s">
        <v>2384</v>
      </c>
      <c r="C152" s="1255">
        <v>0.2</v>
      </c>
      <c r="D152" s="1254">
        <v>0</v>
      </c>
      <c r="E152" s="1254">
        <v>0</v>
      </c>
      <c r="F152" s="1254">
        <v>0</v>
      </c>
      <c r="G152" s="1254">
        <v>0</v>
      </c>
      <c r="H152" s="941">
        <f t="shared" si="11"/>
        <v>0</v>
      </c>
    </row>
    <row r="153" spans="1:8" ht="15.6">
      <c r="A153" s="959">
        <f t="shared" si="6"/>
        <v>130</v>
      </c>
      <c r="B153" s="1257" t="s">
        <v>2569</v>
      </c>
      <c r="C153" s="1255">
        <v>1</v>
      </c>
      <c r="D153" s="1258">
        <v>0</v>
      </c>
      <c r="E153" s="1258">
        <v>0</v>
      </c>
      <c r="F153" s="1258">
        <v>0</v>
      </c>
      <c r="G153" s="1258">
        <v>0</v>
      </c>
      <c r="H153" s="1199">
        <f t="shared" si="11"/>
        <v>0</v>
      </c>
    </row>
    <row r="154" spans="1:8" ht="15.6">
      <c r="A154" s="959">
        <f t="shared" si="6"/>
        <v>131</v>
      </c>
      <c r="B154" s="1257" t="s">
        <v>2569</v>
      </c>
      <c r="C154" s="1255">
        <v>1</v>
      </c>
      <c r="D154" s="1258">
        <v>0</v>
      </c>
      <c r="E154" s="1258">
        <v>0</v>
      </c>
      <c r="F154" s="1258">
        <v>0</v>
      </c>
      <c r="G154" s="1258">
        <v>0</v>
      </c>
      <c r="H154" s="1199">
        <f t="shared" si="11"/>
        <v>0</v>
      </c>
    </row>
    <row r="155" spans="1:8" ht="15.6">
      <c r="A155" s="959">
        <f t="shared" si="6"/>
        <v>132</v>
      </c>
      <c r="B155" s="1257" t="s">
        <v>2385</v>
      </c>
      <c r="C155" s="1255">
        <v>0.2</v>
      </c>
      <c r="D155" s="1258">
        <v>0</v>
      </c>
      <c r="E155" s="1258">
        <v>0</v>
      </c>
      <c r="F155" s="1258">
        <v>0</v>
      </c>
      <c r="G155" s="1258">
        <v>0</v>
      </c>
      <c r="H155" s="1199">
        <f t="shared" si="11"/>
        <v>0</v>
      </c>
    </row>
    <row r="156" spans="1:8" ht="15.6">
      <c r="A156" s="959">
        <f t="shared" si="6"/>
        <v>133</v>
      </c>
      <c r="B156" s="1257" t="s">
        <v>2386</v>
      </c>
      <c r="C156" s="1255">
        <v>6.6666666666666666E-2</v>
      </c>
      <c r="D156" s="1258">
        <v>-18460536.259999998</v>
      </c>
      <c r="E156" s="1258">
        <v>-2782745.65</v>
      </c>
      <c r="F156" s="1258">
        <v>0</v>
      </c>
      <c r="G156" s="1258">
        <v>0</v>
      </c>
      <c r="H156" s="1199">
        <f t="shared" ref="H156:H220" si="12">+D156+E156+F156+G156</f>
        <v>-21243281.909999996</v>
      </c>
    </row>
    <row r="157" spans="1:8" ht="15.6">
      <c r="A157" s="959">
        <f t="shared" si="6"/>
        <v>134</v>
      </c>
      <c r="B157" s="1257" t="s">
        <v>2386</v>
      </c>
      <c r="C157" s="1255">
        <v>6.6666666666666666E-2</v>
      </c>
      <c r="D157" s="1258">
        <v>0</v>
      </c>
      <c r="E157" s="1258">
        <v>0</v>
      </c>
      <c r="F157" s="1258">
        <v>0</v>
      </c>
      <c r="G157" s="1258">
        <v>0</v>
      </c>
      <c r="H157" s="1199">
        <f t="shared" si="12"/>
        <v>0</v>
      </c>
    </row>
    <row r="158" spans="1:8" ht="15.6">
      <c r="A158" s="959">
        <f t="shared" si="6"/>
        <v>135</v>
      </c>
      <c r="B158" s="1257" t="s">
        <v>2387</v>
      </c>
      <c r="C158" s="1255">
        <v>0.2</v>
      </c>
      <c r="D158" s="1258">
        <v>0</v>
      </c>
      <c r="E158" s="1258">
        <v>0</v>
      </c>
      <c r="F158" s="1258">
        <v>0</v>
      </c>
      <c r="G158" s="1258">
        <v>0</v>
      </c>
      <c r="H158" s="1199">
        <f t="shared" si="12"/>
        <v>0</v>
      </c>
    </row>
    <row r="159" spans="1:8" ht="15.6">
      <c r="A159" s="959">
        <f t="shared" si="6"/>
        <v>136</v>
      </c>
      <c r="B159" s="1257" t="s">
        <v>2388</v>
      </c>
      <c r="C159" s="1255">
        <v>0.2</v>
      </c>
      <c r="D159" s="1258">
        <v>0</v>
      </c>
      <c r="E159" s="1258">
        <v>0</v>
      </c>
      <c r="F159" s="1258">
        <v>0</v>
      </c>
      <c r="G159" s="1258">
        <v>0</v>
      </c>
      <c r="H159" s="1199">
        <f t="shared" si="12"/>
        <v>0</v>
      </c>
    </row>
    <row r="160" spans="1:8" ht="15.6">
      <c r="A160" s="959">
        <f t="shared" si="6"/>
        <v>137</v>
      </c>
      <c r="B160" s="1257" t="s">
        <v>2389</v>
      </c>
      <c r="C160" s="1255">
        <v>0.2</v>
      </c>
      <c r="D160" s="1258">
        <v>0</v>
      </c>
      <c r="E160" s="1258">
        <v>0</v>
      </c>
      <c r="F160" s="1258">
        <v>0</v>
      </c>
      <c r="G160" s="1258">
        <v>0</v>
      </c>
      <c r="H160" s="1199">
        <f t="shared" si="12"/>
        <v>0</v>
      </c>
    </row>
    <row r="161" spans="1:8" ht="31.2">
      <c r="A161" s="959">
        <f t="shared" si="6"/>
        <v>138</v>
      </c>
      <c r="B161" s="1257" t="s">
        <v>2390</v>
      </c>
      <c r="C161" s="1255">
        <v>0.2</v>
      </c>
      <c r="D161" s="1258">
        <v>0</v>
      </c>
      <c r="E161" s="1258">
        <v>0</v>
      </c>
      <c r="F161" s="1258">
        <v>0</v>
      </c>
      <c r="G161" s="1258">
        <v>0</v>
      </c>
      <c r="H161" s="1199">
        <f t="shared" si="12"/>
        <v>0</v>
      </c>
    </row>
    <row r="162" spans="1:8" ht="31.2">
      <c r="A162" s="959">
        <f t="shared" si="6"/>
        <v>139</v>
      </c>
      <c r="B162" s="1257" t="s">
        <v>2390</v>
      </c>
      <c r="C162" s="1255">
        <v>0.2</v>
      </c>
      <c r="D162" s="1258">
        <v>0</v>
      </c>
      <c r="E162" s="1258">
        <v>0</v>
      </c>
      <c r="F162" s="1258">
        <v>0</v>
      </c>
      <c r="G162" s="1258">
        <v>0</v>
      </c>
      <c r="H162" s="1199">
        <f t="shared" si="12"/>
        <v>0</v>
      </c>
    </row>
    <row r="163" spans="1:8" ht="31.2">
      <c r="A163" s="959">
        <f t="shared" si="6"/>
        <v>140</v>
      </c>
      <c r="B163" s="1261" t="s">
        <v>2391</v>
      </c>
      <c r="C163" s="1255">
        <v>0.2</v>
      </c>
      <c r="D163" s="1258">
        <v>0</v>
      </c>
      <c r="E163" s="1258">
        <v>0</v>
      </c>
      <c r="F163" s="1258">
        <v>0</v>
      </c>
      <c r="G163" s="1258">
        <v>0</v>
      </c>
      <c r="H163" s="1199">
        <f t="shared" si="12"/>
        <v>0</v>
      </c>
    </row>
    <row r="164" spans="1:8" ht="31.2">
      <c r="A164" s="959">
        <f t="shared" si="6"/>
        <v>141</v>
      </c>
      <c r="B164" s="1257" t="s">
        <v>2392</v>
      </c>
      <c r="C164" s="1255">
        <v>0.2</v>
      </c>
      <c r="D164" s="1258">
        <v>0</v>
      </c>
      <c r="E164" s="1258">
        <v>0</v>
      </c>
      <c r="F164" s="1258">
        <v>0</v>
      </c>
      <c r="G164" s="1258">
        <v>0</v>
      </c>
      <c r="H164" s="1199">
        <f t="shared" si="12"/>
        <v>0</v>
      </c>
    </row>
    <row r="165" spans="1:8" ht="15.6">
      <c r="A165" s="959">
        <f t="shared" si="6"/>
        <v>142</v>
      </c>
      <c r="B165" s="1257" t="s">
        <v>2393</v>
      </c>
      <c r="C165" s="1255">
        <v>0.2</v>
      </c>
      <c r="D165" s="1258">
        <v>0</v>
      </c>
      <c r="E165" s="1258">
        <v>0</v>
      </c>
      <c r="F165" s="1258">
        <v>0</v>
      </c>
      <c r="G165" s="1258">
        <v>0</v>
      </c>
      <c r="H165" s="1199">
        <f t="shared" si="12"/>
        <v>0</v>
      </c>
    </row>
    <row r="166" spans="1:8" ht="15.6">
      <c r="A166" s="959">
        <f t="shared" si="6"/>
        <v>143</v>
      </c>
      <c r="B166" s="1262" t="s">
        <v>1835</v>
      </c>
      <c r="C166" s="1255">
        <v>0.2</v>
      </c>
      <c r="D166" s="1258">
        <v>2.9103830456733704E-11</v>
      </c>
      <c r="E166" s="1258">
        <v>0</v>
      </c>
      <c r="F166" s="1258">
        <v>0</v>
      </c>
      <c r="G166" s="1258">
        <v>0</v>
      </c>
      <c r="H166" s="1199">
        <f t="shared" si="12"/>
        <v>2.9103830456733704E-11</v>
      </c>
    </row>
    <row r="167" spans="1:8" ht="15.6">
      <c r="A167" s="959">
        <f t="shared" si="6"/>
        <v>144</v>
      </c>
      <c r="B167" s="1262" t="s">
        <v>2394</v>
      </c>
      <c r="C167" s="1255">
        <v>0.2</v>
      </c>
      <c r="D167" s="1258">
        <v>0</v>
      </c>
      <c r="E167" s="1258">
        <v>0</v>
      </c>
      <c r="F167" s="1258">
        <v>0</v>
      </c>
      <c r="G167" s="1258">
        <v>0</v>
      </c>
      <c r="H167" s="1199">
        <f t="shared" si="12"/>
        <v>0</v>
      </c>
    </row>
    <row r="168" spans="1:8" ht="15.6">
      <c r="A168" s="959">
        <f t="shared" ref="A168:A232" si="13">A167+1</f>
        <v>145</v>
      </c>
      <c r="B168" s="1262" t="s">
        <v>2395</v>
      </c>
      <c r="C168" s="1255">
        <v>0.2</v>
      </c>
      <c r="D168" s="1258">
        <v>0</v>
      </c>
      <c r="E168" s="1258">
        <v>0</v>
      </c>
      <c r="F168" s="1258">
        <v>0</v>
      </c>
      <c r="G168" s="1258">
        <v>0</v>
      </c>
      <c r="H168" s="1199">
        <f t="shared" si="12"/>
        <v>0</v>
      </c>
    </row>
    <row r="169" spans="1:8" ht="15.6">
      <c r="A169" s="959">
        <f t="shared" si="13"/>
        <v>146</v>
      </c>
      <c r="B169" s="1262" t="s">
        <v>2396</v>
      </c>
      <c r="C169" s="1255">
        <v>0.2</v>
      </c>
      <c r="D169" s="1258">
        <v>0</v>
      </c>
      <c r="E169" s="1258">
        <v>0</v>
      </c>
      <c r="F169" s="1258">
        <v>0</v>
      </c>
      <c r="G169" s="1258">
        <v>0</v>
      </c>
      <c r="H169" s="1199">
        <f t="shared" si="12"/>
        <v>0</v>
      </c>
    </row>
    <row r="170" spans="1:8" ht="15.6">
      <c r="A170" s="959">
        <f t="shared" si="13"/>
        <v>147</v>
      </c>
      <c r="B170" s="1262" t="s">
        <v>2397</v>
      </c>
      <c r="C170" s="1255">
        <v>0.2</v>
      </c>
      <c r="D170" s="1258">
        <v>0</v>
      </c>
      <c r="E170" s="1258">
        <v>0</v>
      </c>
      <c r="F170" s="1258">
        <v>0</v>
      </c>
      <c r="G170" s="1258">
        <v>0</v>
      </c>
      <c r="H170" s="1199">
        <f t="shared" si="12"/>
        <v>0</v>
      </c>
    </row>
    <row r="171" spans="1:8" ht="15.6">
      <c r="A171" s="959">
        <f t="shared" si="13"/>
        <v>148</v>
      </c>
      <c r="B171" s="1262" t="s">
        <v>2398</v>
      </c>
      <c r="C171" s="1255">
        <v>0.2</v>
      </c>
      <c r="D171" s="1258">
        <v>0</v>
      </c>
      <c r="E171" s="1258">
        <v>0</v>
      </c>
      <c r="F171" s="1258">
        <v>0</v>
      </c>
      <c r="G171" s="1258">
        <v>0</v>
      </c>
      <c r="H171" s="1199">
        <f t="shared" si="12"/>
        <v>0</v>
      </c>
    </row>
    <row r="172" spans="1:8" ht="15.6">
      <c r="A172" s="959">
        <f t="shared" si="13"/>
        <v>149</v>
      </c>
      <c r="B172" s="1262" t="s">
        <v>2399</v>
      </c>
      <c r="C172" s="1255">
        <v>0.2</v>
      </c>
      <c r="D172" s="1258">
        <v>0</v>
      </c>
      <c r="E172" s="1258">
        <v>0</v>
      </c>
      <c r="F172" s="1258">
        <v>0</v>
      </c>
      <c r="G172" s="1258">
        <v>0</v>
      </c>
      <c r="H172" s="1199">
        <f t="shared" si="12"/>
        <v>0</v>
      </c>
    </row>
    <row r="173" spans="1:8" ht="15.6">
      <c r="A173" s="959">
        <f t="shared" si="13"/>
        <v>150</v>
      </c>
      <c r="B173" s="1262" t="s">
        <v>2400</v>
      </c>
      <c r="C173" s="1255">
        <v>0.23529411764705882</v>
      </c>
      <c r="D173" s="1258">
        <v>0</v>
      </c>
      <c r="E173" s="1258">
        <v>0</v>
      </c>
      <c r="F173" s="1258">
        <v>0</v>
      </c>
      <c r="G173" s="1258">
        <v>0</v>
      </c>
      <c r="H173" s="1199">
        <f t="shared" si="12"/>
        <v>0</v>
      </c>
    </row>
    <row r="174" spans="1:8" ht="15.6">
      <c r="A174" s="959">
        <f>A173+1</f>
        <v>151</v>
      </c>
      <c r="B174" s="1262" t="s">
        <v>2401</v>
      </c>
      <c r="C174" s="1255">
        <v>0.2</v>
      </c>
      <c r="D174" s="1258">
        <v>0</v>
      </c>
      <c r="E174" s="1258">
        <v>0</v>
      </c>
      <c r="F174" s="1258">
        <v>0</v>
      </c>
      <c r="G174" s="1258">
        <v>0</v>
      </c>
      <c r="H174" s="1199">
        <f t="shared" si="12"/>
        <v>0</v>
      </c>
    </row>
    <row r="175" spans="1:8" ht="15.6">
      <c r="A175" s="959">
        <f t="shared" si="13"/>
        <v>152</v>
      </c>
      <c r="B175" s="1262" t="s">
        <v>2402</v>
      </c>
      <c r="C175" s="1255">
        <v>0.2</v>
      </c>
      <c r="D175" s="1258">
        <v>0</v>
      </c>
      <c r="E175" s="1258">
        <v>0</v>
      </c>
      <c r="F175" s="1258">
        <v>0</v>
      </c>
      <c r="G175" s="1258">
        <v>0</v>
      </c>
      <c r="H175" s="1199">
        <f t="shared" si="12"/>
        <v>0</v>
      </c>
    </row>
    <row r="176" spans="1:8" ht="15.6">
      <c r="A176" s="959">
        <f t="shared" si="13"/>
        <v>153</v>
      </c>
      <c r="B176" s="1262" t="s">
        <v>2403</v>
      </c>
      <c r="C176" s="1255">
        <v>0.2</v>
      </c>
      <c r="D176" s="1258">
        <v>0</v>
      </c>
      <c r="E176" s="1258">
        <v>0</v>
      </c>
      <c r="F176" s="1258">
        <v>0</v>
      </c>
      <c r="G176" s="1258">
        <v>0</v>
      </c>
      <c r="H176" s="1199">
        <f t="shared" si="12"/>
        <v>0</v>
      </c>
    </row>
    <row r="177" spans="1:8" ht="15.6">
      <c r="A177" s="959">
        <f t="shared" si="13"/>
        <v>154</v>
      </c>
      <c r="B177" s="1262" t="s">
        <v>2404</v>
      </c>
      <c r="C177" s="1255">
        <v>0.2</v>
      </c>
      <c r="D177" s="1258">
        <v>0</v>
      </c>
      <c r="E177" s="1258">
        <v>0</v>
      </c>
      <c r="F177" s="1258">
        <v>0</v>
      </c>
      <c r="G177" s="1258">
        <v>0</v>
      </c>
      <c r="H177" s="1199">
        <f t="shared" si="12"/>
        <v>0</v>
      </c>
    </row>
    <row r="178" spans="1:8" ht="15.6">
      <c r="A178" s="959">
        <f t="shared" si="13"/>
        <v>155</v>
      </c>
      <c r="B178" s="1262" t="s">
        <v>2405</v>
      </c>
      <c r="C178" s="1255">
        <v>0.2</v>
      </c>
      <c r="D178" s="1258">
        <v>0</v>
      </c>
      <c r="E178" s="1258">
        <v>0</v>
      </c>
      <c r="F178" s="1258">
        <v>0</v>
      </c>
      <c r="G178" s="1258">
        <v>0</v>
      </c>
      <c r="H178" s="1199">
        <f t="shared" si="12"/>
        <v>0</v>
      </c>
    </row>
    <row r="179" spans="1:8" ht="15.6">
      <c r="A179" s="959">
        <f t="shared" si="13"/>
        <v>156</v>
      </c>
      <c r="B179" s="1262" t="s">
        <v>2406</v>
      </c>
      <c r="C179" s="1255">
        <v>0.2</v>
      </c>
      <c r="D179" s="1258">
        <v>0</v>
      </c>
      <c r="E179" s="1258">
        <v>0</v>
      </c>
      <c r="F179" s="1258">
        <v>0</v>
      </c>
      <c r="G179" s="1258">
        <v>0</v>
      </c>
      <c r="H179" s="1199">
        <f t="shared" si="12"/>
        <v>0</v>
      </c>
    </row>
    <row r="180" spans="1:8" ht="15.6">
      <c r="A180" s="959">
        <f t="shared" si="13"/>
        <v>157</v>
      </c>
      <c r="B180" s="1262" t="s">
        <v>2407</v>
      </c>
      <c r="C180" s="1255">
        <v>0.2</v>
      </c>
      <c r="D180" s="1258">
        <v>0</v>
      </c>
      <c r="E180" s="1258">
        <v>0</v>
      </c>
      <c r="F180" s="1258">
        <v>0</v>
      </c>
      <c r="G180" s="1258">
        <v>0</v>
      </c>
      <c r="H180" s="1199">
        <f t="shared" si="12"/>
        <v>0</v>
      </c>
    </row>
    <row r="181" spans="1:8" ht="15.6">
      <c r="A181" s="959">
        <f t="shared" si="13"/>
        <v>158</v>
      </c>
      <c r="B181" s="1262" t="s">
        <v>2408</v>
      </c>
      <c r="C181" s="1255">
        <v>0.2</v>
      </c>
      <c r="D181" s="1258">
        <v>0</v>
      </c>
      <c r="E181" s="1258">
        <v>0</v>
      </c>
      <c r="F181" s="1258">
        <v>0</v>
      </c>
      <c r="G181" s="1258">
        <v>0</v>
      </c>
      <c r="H181" s="1199">
        <f t="shared" si="12"/>
        <v>0</v>
      </c>
    </row>
    <row r="182" spans="1:8" ht="15.6">
      <c r="A182" s="959">
        <f t="shared" si="13"/>
        <v>159</v>
      </c>
      <c r="B182" s="1262" t="s">
        <v>2409</v>
      </c>
      <c r="C182" s="1255">
        <v>0.2</v>
      </c>
      <c r="D182" s="1258">
        <v>0</v>
      </c>
      <c r="E182" s="1258">
        <v>0</v>
      </c>
      <c r="F182" s="1258">
        <v>0</v>
      </c>
      <c r="G182" s="1258">
        <v>0</v>
      </c>
      <c r="H182" s="1199">
        <f t="shared" si="12"/>
        <v>0</v>
      </c>
    </row>
    <row r="183" spans="1:8" ht="15.6">
      <c r="A183" s="959">
        <f t="shared" si="13"/>
        <v>160</v>
      </c>
      <c r="B183" s="1262" t="s">
        <v>2410</v>
      </c>
      <c r="C183" s="1255">
        <v>0.2</v>
      </c>
      <c r="D183" s="1258">
        <v>0</v>
      </c>
      <c r="E183" s="1258">
        <v>0</v>
      </c>
      <c r="F183" s="1258">
        <v>0</v>
      </c>
      <c r="G183" s="1258">
        <v>0</v>
      </c>
      <c r="H183" s="1199">
        <f t="shared" si="12"/>
        <v>0</v>
      </c>
    </row>
    <row r="184" spans="1:8" ht="15.6">
      <c r="A184" s="959">
        <f t="shared" si="13"/>
        <v>161</v>
      </c>
      <c r="B184" s="1262" t="s">
        <v>2411</v>
      </c>
      <c r="C184" s="1255">
        <v>0.2</v>
      </c>
      <c r="D184" s="1258">
        <v>1.4551915228366852E-11</v>
      </c>
      <c r="E184" s="1258">
        <v>0</v>
      </c>
      <c r="F184" s="1258">
        <v>0</v>
      </c>
      <c r="G184" s="1258">
        <v>0</v>
      </c>
      <c r="H184" s="1199">
        <f t="shared" si="12"/>
        <v>1.4551915228366852E-11</v>
      </c>
    </row>
    <row r="185" spans="1:8" ht="15.6">
      <c r="A185" s="959">
        <f t="shared" si="13"/>
        <v>162</v>
      </c>
      <c r="B185" s="1262" t="s">
        <v>2412</v>
      </c>
      <c r="C185" s="1255">
        <v>0.2</v>
      </c>
      <c r="D185" s="1258">
        <v>0</v>
      </c>
      <c r="E185" s="1258">
        <v>0</v>
      </c>
      <c r="F185" s="1258">
        <v>0</v>
      </c>
      <c r="G185" s="1258">
        <v>0</v>
      </c>
      <c r="H185" s="1199">
        <f t="shared" si="12"/>
        <v>0</v>
      </c>
    </row>
    <row r="186" spans="1:8" ht="15.6">
      <c r="A186" s="959">
        <f t="shared" si="13"/>
        <v>163</v>
      </c>
      <c r="B186" s="1262" t="s">
        <v>2413</v>
      </c>
      <c r="C186" s="1255">
        <v>0.2</v>
      </c>
      <c r="D186" s="1258">
        <v>0</v>
      </c>
      <c r="E186" s="1258">
        <v>0</v>
      </c>
      <c r="F186" s="1258">
        <v>0</v>
      </c>
      <c r="G186" s="1258">
        <v>0</v>
      </c>
      <c r="H186" s="1199">
        <f t="shared" si="12"/>
        <v>0</v>
      </c>
    </row>
    <row r="187" spans="1:8" ht="15.6">
      <c r="A187" s="959">
        <f t="shared" si="13"/>
        <v>164</v>
      </c>
      <c r="B187" s="1262" t="s">
        <v>2414</v>
      </c>
      <c r="C187" s="1255">
        <v>0.2</v>
      </c>
      <c r="D187" s="1258">
        <v>0</v>
      </c>
      <c r="E187" s="1258">
        <v>0</v>
      </c>
      <c r="F187" s="1258">
        <v>0</v>
      </c>
      <c r="G187" s="1258">
        <v>0</v>
      </c>
      <c r="H187" s="1199">
        <f t="shared" si="12"/>
        <v>0</v>
      </c>
    </row>
    <row r="188" spans="1:8" ht="15.6">
      <c r="A188" s="959">
        <f t="shared" si="13"/>
        <v>165</v>
      </c>
      <c r="B188" s="1262" t="s">
        <v>2415</v>
      </c>
      <c r="C188" s="1255">
        <v>6.6666666666666666E-2</v>
      </c>
      <c r="D188" s="1258">
        <v>-5820470.4100000001</v>
      </c>
      <c r="E188" s="1258">
        <v>-996655.85</v>
      </c>
      <c r="F188" s="1258">
        <v>0</v>
      </c>
      <c r="G188" s="1258">
        <v>0</v>
      </c>
      <c r="H188" s="1199">
        <f t="shared" si="12"/>
        <v>-6817126.2599999998</v>
      </c>
    </row>
    <row r="189" spans="1:8" ht="15.6">
      <c r="A189" s="959">
        <f t="shared" si="13"/>
        <v>166</v>
      </c>
      <c r="B189" s="1262" t="s">
        <v>2416</v>
      </c>
      <c r="C189" s="1255">
        <v>0.2</v>
      </c>
      <c r="D189" s="1258">
        <v>0</v>
      </c>
      <c r="E189" s="1258">
        <v>0</v>
      </c>
      <c r="F189" s="1258">
        <v>0</v>
      </c>
      <c r="G189" s="1258">
        <v>0</v>
      </c>
      <c r="H189" s="1199">
        <f t="shared" si="12"/>
        <v>0</v>
      </c>
    </row>
    <row r="190" spans="1:8" ht="15.6">
      <c r="A190" s="959">
        <f t="shared" si="13"/>
        <v>167</v>
      </c>
      <c r="B190" s="1262" t="s">
        <v>2417</v>
      </c>
      <c r="C190" s="1255">
        <v>0.2</v>
      </c>
      <c r="D190" s="1258">
        <v>0</v>
      </c>
      <c r="E190" s="1258">
        <v>0</v>
      </c>
      <c r="F190" s="1258">
        <v>0</v>
      </c>
      <c r="G190" s="1258">
        <v>0</v>
      </c>
      <c r="H190" s="1199">
        <f t="shared" si="12"/>
        <v>0</v>
      </c>
    </row>
    <row r="191" spans="1:8" ht="15.6">
      <c r="A191" s="959">
        <f t="shared" si="13"/>
        <v>168</v>
      </c>
      <c r="B191" s="1262" t="s">
        <v>2418</v>
      </c>
      <c r="C191" s="1255">
        <v>0.2</v>
      </c>
      <c r="D191" s="1258">
        <v>0</v>
      </c>
      <c r="E191" s="1258">
        <v>0</v>
      </c>
      <c r="F191" s="1258">
        <v>0</v>
      </c>
      <c r="G191" s="1258">
        <v>0</v>
      </c>
      <c r="H191" s="1199">
        <f t="shared" si="12"/>
        <v>0</v>
      </c>
    </row>
    <row r="192" spans="1:8" ht="15.6">
      <c r="A192" s="959">
        <f t="shared" si="13"/>
        <v>169</v>
      </c>
      <c r="B192" s="1262" t="s">
        <v>2419</v>
      </c>
      <c r="C192" s="1255">
        <v>0.2</v>
      </c>
      <c r="D192" s="1258">
        <v>0</v>
      </c>
      <c r="E192" s="1258">
        <v>0</v>
      </c>
      <c r="F192" s="1258">
        <v>0</v>
      </c>
      <c r="G192" s="1258">
        <v>0</v>
      </c>
      <c r="H192" s="1199">
        <f t="shared" si="12"/>
        <v>0</v>
      </c>
    </row>
    <row r="193" spans="1:8" ht="15.6">
      <c r="A193" s="959">
        <f t="shared" si="13"/>
        <v>170</v>
      </c>
      <c r="B193" s="1262" t="s">
        <v>2570</v>
      </c>
      <c r="C193" s="1255">
        <v>0.2</v>
      </c>
      <c r="D193" s="1258">
        <v>0</v>
      </c>
      <c r="E193" s="1258">
        <v>0</v>
      </c>
      <c r="F193" s="1258">
        <v>0</v>
      </c>
      <c r="G193" s="1258">
        <v>0</v>
      </c>
      <c r="H193" s="1199">
        <f t="shared" si="12"/>
        <v>0</v>
      </c>
    </row>
    <row r="194" spans="1:8" ht="15.6">
      <c r="A194" s="959">
        <f t="shared" si="13"/>
        <v>171</v>
      </c>
      <c r="B194" s="1262" t="s">
        <v>1835</v>
      </c>
      <c r="C194" s="1255">
        <v>0.2</v>
      </c>
      <c r="D194" s="1258">
        <v>0</v>
      </c>
      <c r="E194" s="1258">
        <v>0</v>
      </c>
      <c r="F194" s="1258">
        <v>0</v>
      </c>
      <c r="G194" s="1258">
        <v>0</v>
      </c>
      <c r="H194" s="1199">
        <f t="shared" si="12"/>
        <v>0</v>
      </c>
    </row>
    <row r="195" spans="1:8" ht="15.6">
      <c r="A195" s="959">
        <f t="shared" si="13"/>
        <v>172</v>
      </c>
      <c r="B195" s="1262" t="s">
        <v>2571</v>
      </c>
      <c r="C195" s="1255">
        <v>0.2</v>
      </c>
      <c r="D195" s="1258">
        <v>0</v>
      </c>
      <c r="E195" s="1258">
        <v>0</v>
      </c>
      <c r="F195" s="1258">
        <v>0</v>
      </c>
      <c r="G195" s="1258">
        <v>0</v>
      </c>
      <c r="H195" s="1199">
        <f t="shared" si="12"/>
        <v>0</v>
      </c>
    </row>
    <row r="196" spans="1:8" ht="15.6">
      <c r="A196" s="959">
        <f t="shared" si="13"/>
        <v>173</v>
      </c>
      <c r="B196" s="1262" t="s">
        <v>2572</v>
      </c>
      <c r="C196" s="1255">
        <v>0.2</v>
      </c>
      <c r="D196" s="1258">
        <v>0</v>
      </c>
      <c r="E196" s="1258">
        <v>0</v>
      </c>
      <c r="F196" s="1258">
        <v>0</v>
      </c>
      <c r="G196" s="1258">
        <v>0</v>
      </c>
      <c r="H196" s="1199">
        <f t="shared" si="12"/>
        <v>0</v>
      </c>
    </row>
    <row r="197" spans="1:8" ht="15.6">
      <c r="A197" s="959">
        <f t="shared" si="13"/>
        <v>174</v>
      </c>
      <c r="B197" s="1262" t="s">
        <v>2573</v>
      </c>
      <c r="C197" s="1255">
        <v>0.2</v>
      </c>
      <c r="D197" s="1258">
        <v>0</v>
      </c>
      <c r="E197" s="1258">
        <v>0</v>
      </c>
      <c r="F197" s="1258">
        <v>0</v>
      </c>
      <c r="G197" s="1258">
        <v>0</v>
      </c>
      <c r="H197" s="1199">
        <f t="shared" si="12"/>
        <v>0</v>
      </c>
    </row>
    <row r="198" spans="1:8" ht="15.6">
      <c r="A198" s="959">
        <f t="shared" si="13"/>
        <v>175</v>
      </c>
      <c r="B198" s="1262" t="s">
        <v>1835</v>
      </c>
      <c r="C198" s="1255">
        <v>6.6000000000000003E-2</v>
      </c>
      <c r="D198" s="1258">
        <v>-409872.96000000008</v>
      </c>
      <c r="E198" s="1258">
        <v>-50188.52</v>
      </c>
      <c r="F198" s="1258">
        <v>0</v>
      </c>
      <c r="G198" s="1258">
        <v>0</v>
      </c>
      <c r="H198" s="1199">
        <f t="shared" si="12"/>
        <v>-460061.4800000001</v>
      </c>
    </row>
    <row r="199" spans="1:8" ht="15.6">
      <c r="A199" s="959">
        <f t="shared" si="13"/>
        <v>176</v>
      </c>
      <c r="B199" s="1262" t="s">
        <v>2574</v>
      </c>
      <c r="C199" s="1255">
        <v>0.2</v>
      </c>
      <c r="D199" s="1258">
        <v>0</v>
      </c>
      <c r="E199" s="1258">
        <v>0</v>
      </c>
      <c r="F199" s="1258">
        <v>0</v>
      </c>
      <c r="G199" s="1258">
        <v>0</v>
      </c>
      <c r="H199" s="1199">
        <f t="shared" si="12"/>
        <v>0</v>
      </c>
    </row>
    <row r="200" spans="1:8" ht="20.399999999999999">
      <c r="A200" s="1713" t="s">
        <v>2979</v>
      </c>
      <c r="B200" s="1713"/>
      <c r="C200" s="1713"/>
      <c r="D200" s="1713"/>
      <c r="E200" s="1713"/>
      <c r="F200" s="1713"/>
      <c r="G200" s="1713"/>
      <c r="H200" s="1713"/>
    </row>
    <row r="201" spans="1:8" ht="19.2">
      <c r="A201" s="1725" t="str">
        <f>+A76</f>
        <v>For Contract Year Beginning June 1, 2024, Based on 2023 Data</v>
      </c>
      <c r="B201" s="1725"/>
      <c r="C201" s="1725"/>
      <c r="D201" s="1725"/>
      <c r="E201" s="1725"/>
      <c r="F201" s="1725"/>
      <c r="G201" s="1725"/>
      <c r="H201" s="1725"/>
    </row>
    <row r="202" spans="1:8">
      <c r="A202" s="864"/>
      <c r="B202" s="864"/>
      <c r="C202" s="864"/>
      <c r="D202" s="864"/>
      <c r="E202" s="864"/>
      <c r="F202" s="864"/>
      <c r="G202" s="864"/>
      <c r="H202" s="864"/>
    </row>
    <row r="203" spans="1:8">
      <c r="A203" s="864"/>
      <c r="B203" s="864"/>
      <c r="C203" s="928" t="s">
        <v>480</v>
      </c>
      <c r="D203" s="928" t="s">
        <v>481</v>
      </c>
      <c r="E203" s="928" t="s">
        <v>482</v>
      </c>
      <c r="F203" s="928" t="s">
        <v>483</v>
      </c>
      <c r="G203" s="928" t="s">
        <v>484</v>
      </c>
      <c r="H203" s="928" t="s">
        <v>884</v>
      </c>
    </row>
    <row r="204" spans="1:8" ht="15.6">
      <c r="A204" s="458"/>
      <c r="B204" s="458"/>
      <c r="C204" s="458"/>
      <c r="D204" s="931" t="s">
        <v>469</v>
      </c>
      <c r="E204" s="931"/>
      <c r="F204" s="931"/>
      <c r="G204" s="931"/>
      <c r="H204" s="931" t="s">
        <v>2250</v>
      </c>
    </row>
    <row r="205" spans="1:8" ht="15.6">
      <c r="A205" s="458"/>
      <c r="B205" s="458"/>
      <c r="C205" s="932" t="s">
        <v>2344</v>
      </c>
      <c r="D205" s="931" t="s">
        <v>655</v>
      </c>
      <c r="E205" s="931" t="s">
        <v>656</v>
      </c>
      <c r="F205" s="931" t="s">
        <v>656</v>
      </c>
      <c r="G205" s="931" t="s">
        <v>656</v>
      </c>
      <c r="H205" s="933" t="s">
        <v>2251</v>
      </c>
    </row>
    <row r="206" spans="1:8" ht="18.600000000000001">
      <c r="A206" s="687" t="s">
        <v>494</v>
      </c>
      <c r="B206" s="934" t="s">
        <v>880</v>
      </c>
      <c r="C206" s="935" t="s">
        <v>2483</v>
      </c>
      <c r="D206" s="936" t="s">
        <v>2251</v>
      </c>
      <c r="E206" s="935" t="s">
        <v>2484</v>
      </c>
      <c r="F206" s="934" t="s">
        <v>515</v>
      </c>
      <c r="G206" s="934" t="s">
        <v>516</v>
      </c>
      <c r="H206" s="937" t="s">
        <v>2349</v>
      </c>
    </row>
    <row r="207" spans="1:8" ht="15.6">
      <c r="A207" s="959">
        <f>A199+1</f>
        <v>177</v>
      </c>
      <c r="B207" s="1262" t="s">
        <v>2575</v>
      </c>
      <c r="C207" s="1255">
        <v>0.2</v>
      </c>
      <c r="D207" s="1258">
        <v>0</v>
      </c>
      <c r="E207" s="1258">
        <v>0</v>
      </c>
      <c r="F207" s="1258">
        <v>0</v>
      </c>
      <c r="G207" s="1258">
        <v>0</v>
      </c>
      <c r="H207" s="1199">
        <f>+D207+E207+F207+G207</f>
        <v>0</v>
      </c>
    </row>
    <row r="208" spans="1:8" ht="15.6">
      <c r="A208" s="959">
        <f t="shared" si="13"/>
        <v>178</v>
      </c>
      <c r="B208" s="1262" t="s">
        <v>1835</v>
      </c>
      <c r="C208" s="1255">
        <v>0.2</v>
      </c>
      <c r="D208" s="1258">
        <v>0</v>
      </c>
      <c r="E208" s="1258">
        <v>0</v>
      </c>
      <c r="F208" s="1258">
        <v>0</v>
      </c>
      <c r="G208" s="1258">
        <v>0</v>
      </c>
      <c r="H208" s="1199">
        <f>+D208+E208+F208+G208</f>
        <v>0</v>
      </c>
    </row>
    <row r="209" spans="1:8" ht="15.6">
      <c r="A209" s="959">
        <f>A208+1</f>
        <v>179</v>
      </c>
      <c r="B209" s="1262" t="s">
        <v>2576</v>
      </c>
      <c r="C209" s="1255">
        <v>0.2</v>
      </c>
      <c r="D209" s="1258">
        <v>0</v>
      </c>
      <c r="E209" s="1258">
        <v>0</v>
      </c>
      <c r="F209" s="1258">
        <v>0</v>
      </c>
      <c r="G209" s="1258">
        <v>0</v>
      </c>
      <c r="H209" s="1199">
        <f t="shared" si="12"/>
        <v>0</v>
      </c>
    </row>
    <row r="210" spans="1:8" ht="15.6">
      <c r="A210" s="959">
        <f t="shared" si="13"/>
        <v>180</v>
      </c>
      <c r="B210" s="1262" t="s">
        <v>2577</v>
      </c>
      <c r="C210" s="1255">
        <v>0.2</v>
      </c>
      <c r="D210" s="1258">
        <v>0</v>
      </c>
      <c r="E210" s="1258">
        <v>0</v>
      </c>
      <c r="F210" s="1258">
        <v>0</v>
      </c>
      <c r="G210" s="1258">
        <v>0</v>
      </c>
      <c r="H210" s="1199">
        <f t="shared" si="12"/>
        <v>0</v>
      </c>
    </row>
    <row r="211" spans="1:8" ht="15.6">
      <c r="A211" s="959">
        <f t="shared" si="13"/>
        <v>181</v>
      </c>
      <c r="B211" s="1262" t="s">
        <v>2578</v>
      </c>
      <c r="C211" s="1255">
        <v>0.2</v>
      </c>
      <c r="D211" s="1258">
        <v>0</v>
      </c>
      <c r="E211" s="1258">
        <v>0</v>
      </c>
      <c r="F211" s="1258">
        <v>0</v>
      </c>
      <c r="G211" s="1258">
        <v>0</v>
      </c>
      <c r="H211" s="1199">
        <f t="shared" si="12"/>
        <v>0</v>
      </c>
    </row>
    <row r="212" spans="1:8" ht="15.6">
      <c r="A212" s="959">
        <f t="shared" si="13"/>
        <v>182</v>
      </c>
      <c r="B212" s="1262" t="s">
        <v>2579</v>
      </c>
      <c r="C212" s="1255">
        <v>0.2</v>
      </c>
      <c r="D212" s="1258">
        <v>0</v>
      </c>
      <c r="E212" s="1258">
        <v>0</v>
      </c>
      <c r="F212" s="1258">
        <v>0</v>
      </c>
      <c r="G212" s="1258">
        <v>0</v>
      </c>
      <c r="H212" s="1199">
        <f t="shared" si="12"/>
        <v>0</v>
      </c>
    </row>
    <row r="213" spans="1:8" ht="15.6">
      <c r="A213" s="959">
        <f t="shared" si="13"/>
        <v>183</v>
      </c>
      <c r="B213" s="1262" t="s">
        <v>1835</v>
      </c>
      <c r="C213" s="1255">
        <v>0.2</v>
      </c>
      <c r="D213" s="1258">
        <v>0</v>
      </c>
      <c r="E213" s="1258">
        <v>0</v>
      </c>
      <c r="F213" s="1258">
        <v>0</v>
      </c>
      <c r="G213" s="1258">
        <v>0</v>
      </c>
      <c r="H213" s="1199">
        <f t="shared" si="12"/>
        <v>0</v>
      </c>
    </row>
    <row r="214" spans="1:8" ht="15.6">
      <c r="A214" s="959">
        <f t="shared" si="13"/>
        <v>184</v>
      </c>
      <c r="B214" s="1262" t="s">
        <v>1835</v>
      </c>
      <c r="C214" s="1255">
        <v>0.2</v>
      </c>
      <c r="D214" s="1258">
        <v>0</v>
      </c>
      <c r="E214" s="1258">
        <v>0</v>
      </c>
      <c r="F214" s="1258">
        <v>0</v>
      </c>
      <c r="G214" s="1258">
        <v>0</v>
      </c>
      <c r="H214" s="1199">
        <f t="shared" si="12"/>
        <v>0</v>
      </c>
    </row>
    <row r="215" spans="1:8" ht="15.6">
      <c r="A215" s="959">
        <f t="shared" si="13"/>
        <v>185</v>
      </c>
      <c r="B215" s="1262" t="s">
        <v>1835</v>
      </c>
      <c r="C215" s="1255">
        <v>0.2</v>
      </c>
      <c r="D215" s="1258">
        <v>0</v>
      </c>
      <c r="E215" s="1258">
        <v>0</v>
      </c>
      <c r="F215" s="1258">
        <v>0</v>
      </c>
      <c r="G215" s="1258">
        <v>0</v>
      </c>
      <c r="H215" s="1199">
        <f t="shared" si="12"/>
        <v>0</v>
      </c>
    </row>
    <row r="216" spans="1:8" ht="15.6">
      <c r="A216" s="959">
        <f t="shared" si="13"/>
        <v>186</v>
      </c>
      <c r="B216" s="1262" t="s">
        <v>1835</v>
      </c>
      <c r="C216" s="1255">
        <v>0.2</v>
      </c>
      <c r="D216" s="1258">
        <v>0</v>
      </c>
      <c r="E216" s="1258">
        <v>0</v>
      </c>
      <c r="F216" s="1258">
        <v>0</v>
      </c>
      <c r="G216" s="1258">
        <v>0</v>
      </c>
      <c r="H216" s="1199">
        <f t="shared" si="12"/>
        <v>0</v>
      </c>
    </row>
    <row r="217" spans="1:8" ht="15.6">
      <c r="A217" s="959">
        <f t="shared" si="13"/>
        <v>187</v>
      </c>
      <c r="B217" s="1262" t="s">
        <v>2580</v>
      </c>
      <c r="C217" s="1255">
        <v>0.2</v>
      </c>
      <c r="D217" s="1258">
        <v>0</v>
      </c>
      <c r="E217" s="1258">
        <v>0</v>
      </c>
      <c r="F217" s="1258">
        <v>0</v>
      </c>
      <c r="G217" s="1258">
        <v>0</v>
      </c>
      <c r="H217" s="1199">
        <f t="shared" si="12"/>
        <v>0</v>
      </c>
    </row>
    <row r="218" spans="1:8" ht="15.6">
      <c r="A218" s="959">
        <f t="shared" si="13"/>
        <v>188</v>
      </c>
      <c r="B218" s="1262" t="s">
        <v>2581</v>
      </c>
      <c r="C218" s="1255">
        <v>0.2</v>
      </c>
      <c r="D218" s="1258">
        <v>0</v>
      </c>
      <c r="E218" s="1258">
        <v>0</v>
      </c>
      <c r="F218" s="1258">
        <v>0</v>
      </c>
      <c r="G218" s="1258">
        <v>0</v>
      </c>
      <c r="H218" s="1199">
        <f t="shared" si="12"/>
        <v>0</v>
      </c>
    </row>
    <row r="219" spans="1:8" ht="15.6">
      <c r="A219" s="959">
        <f t="shared" si="13"/>
        <v>189</v>
      </c>
      <c r="B219" s="1262" t="s">
        <v>2582</v>
      </c>
      <c r="C219" s="1255">
        <v>0.2</v>
      </c>
      <c r="D219" s="1258">
        <v>0</v>
      </c>
      <c r="E219" s="1258">
        <v>0</v>
      </c>
      <c r="F219" s="1258">
        <v>0</v>
      </c>
      <c r="G219" s="1258">
        <v>0</v>
      </c>
      <c r="H219" s="1199">
        <f t="shared" si="12"/>
        <v>0</v>
      </c>
    </row>
    <row r="220" spans="1:8" ht="15.6">
      <c r="A220" s="959">
        <f t="shared" si="13"/>
        <v>190</v>
      </c>
      <c r="B220" s="1262" t="s">
        <v>2583</v>
      </c>
      <c r="C220" s="1255">
        <v>0.2</v>
      </c>
      <c r="D220" s="1258">
        <v>0</v>
      </c>
      <c r="E220" s="1258">
        <v>0</v>
      </c>
      <c r="F220" s="1258">
        <v>0</v>
      </c>
      <c r="G220" s="1258">
        <v>0</v>
      </c>
      <c r="H220" s="1199">
        <f t="shared" si="12"/>
        <v>0</v>
      </c>
    </row>
    <row r="221" spans="1:8" ht="15.6">
      <c r="A221" s="959">
        <f t="shared" si="13"/>
        <v>191</v>
      </c>
      <c r="B221" s="1262" t="s">
        <v>1835</v>
      </c>
      <c r="C221" s="1255">
        <v>0.2</v>
      </c>
      <c r="D221" s="1258">
        <v>0</v>
      </c>
      <c r="E221" s="1258">
        <v>0</v>
      </c>
      <c r="F221" s="1258">
        <v>0</v>
      </c>
      <c r="G221" s="1258">
        <v>0</v>
      </c>
      <c r="H221" s="1199">
        <f t="shared" ref="H221:H291" si="14">+D221+E221+F221+G221</f>
        <v>0</v>
      </c>
    </row>
    <row r="222" spans="1:8" ht="15.6">
      <c r="A222" s="959">
        <f t="shared" si="13"/>
        <v>192</v>
      </c>
      <c r="B222" s="1262" t="s">
        <v>1835</v>
      </c>
      <c r="C222" s="1255">
        <v>0.2</v>
      </c>
      <c r="D222" s="1258">
        <v>0</v>
      </c>
      <c r="E222" s="1258">
        <v>0</v>
      </c>
      <c r="F222" s="1258">
        <v>0</v>
      </c>
      <c r="G222" s="1258">
        <v>0</v>
      </c>
      <c r="H222" s="1199">
        <f t="shared" si="14"/>
        <v>0</v>
      </c>
    </row>
    <row r="223" spans="1:8" ht="15.6">
      <c r="A223" s="959">
        <f t="shared" si="13"/>
        <v>193</v>
      </c>
      <c r="B223" s="1262" t="s">
        <v>2584</v>
      </c>
      <c r="C223" s="1255">
        <v>0.2</v>
      </c>
      <c r="D223" s="1258">
        <v>0</v>
      </c>
      <c r="E223" s="1258">
        <v>0</v>
      </c>
      <c r="F223" s="1258">
        <v>0</v>
      </c>
      <c r="G223" s="1258">
        <v>0</v>
      </c>
      <c r="H223" s="1199">
        <f t="shared" si="14"/>
        <v>0</v>
      </c>
    </row>
    <row r="224" spans="1:8" ht="15.6">
      <c r="A224" s="959">
        <f t="shared" si="13"/>
        <v>194</v>
      </c>
      <c r="B224" s="1262" t="s">
        <v>2585</v>
      </c>
      <c r="C224" s="1255">
        <v>0.2</v>
      </c>
      <c r="D224" s="1258">
        <v>0</v>
      </c>
      <c r="E224" s="1258">
        <v>0</v>
      </c>
      <c r="F224" s="1258">
        <v>0</v>
      </c>
      <c r="G224" s="1258">
        <v>0</v>
      </c>
      <c r="H224" s="1199">
        <f t="shared" si="14"/>
        <v>0</v>
      </c>
    </row>
    <row r="225" spans="1:8" ht="15.6">
      <c r="A225" s="959">
        <f t="shared" si="13"/>
        <v>195</v>
      </c>
      <c r="B225" s="1262" t="s">
        <v>1835</v>
      </c>
      <c r="C225" s="1255">
        <v>0.2</v>
      </c>
      <c r="D225" s="1258">
        <v>0</v>
      </c>
      <c r="E225" s="1258">
        <v>0</v>
      </c>
      <c r="F225" s="1258">
        <v>0</v>
      </c>
      <c r="G225" s="1258">
        <v>0</v>
      </c>
      <c r="H225" s="1199">
        <f t="shared" si="14"/>
        <v>0</v>
      </c>
    </row>
    <row r="226" spans="1:8" ht="15.6">
      <c r="A226" s="959">
        <f t="shared" si="13"/>
        <v>196</v>
      </c>
      <c r="B226" s="1262" t="s">
        <v>2586</v>
      </c>
      <c r="C226" s="1255">
        <v>0.2</v>
      </c>
      <c r="D226" s="1258">
        <v>0</v>
      </c>
      <c r="E226" s="1258">
        <v>0</v>
      </c>
      <c r="F226" s="1258">
        <v>0</v>
      </c>
      <c r="G226" s="1258">
        <v>0</v>
      </c>
      <c r="H226" s="1199">
        <f t="shared" si="14"/>
        <v>0</v>
      </c>
    </row>
    <row r="227" spans="1:8" ht="15.6">
      <c r="A227" s="959">
        <f t="shared" si="13"/>
        <v>197</v>
      </c>
      <c r="B227" s="1262" t="s">
        <v>1835</v>
      </c>
      <c r="C227" s="1255">
        <v>0.2</v>
      </c>
      <c r="D227" s="1258">
        <v>0</v>
      </c>
      <c r="E227" s="1258">
        <v>0</v>
      </c>
      <c r="F227" s="1258">
        <v>0</v>
      </c>
      <c r="G227" s="1258">
        <v>0</v>
      </c>
      <c r="H227" s="1199">
        <f t="shared" si="14"/>
        <v>0</v>
      </c>
    </row>
    <row r="228" spans="1:8" ht="15.6">
      <c r="A228" s="959">
        <f t="shared" si="13"/>
        <v>198</v>
      </c>
      <c r="B228" s="1262" t="s">
        <v>2587</v>
      </c>
      <c r="C228" s="1255">
        <v>0.2</v>
      </c>
      <c r="D228" s="1258">
        <v>0</v>
      </c>
      <c r="E228" s="1258">
        <v>0</v>
      </c>
      <c r="F228" s="1258">
        <v>0</v>
      </c>
      <c r="G228" s="1258">
        <v>0</v>
      </c>
      <c r="H228" s="1199">
        <f t="shared" si="14"/>
        <v>0</v>
      </c>
    </row>
    <row r="229" spans="1:8" ht="15.6">
      <c r="A229" s="959">
        <f t="shared" si="13"/>
        <v>199</v>
      </c>
      <c r="B229" s="1262" t="s">
        <v>1835</v>
      </c>
      <c r="C229" s="1255">
        <v>0.2</v>
      </c>
      <c r="D229" s="1258">
        <v>0</v>
      </c>
      <c r="E229" s="1258">
        <v>0</v>
      </c>
      <c r="F229" s="1258">
        <v>0</v>
      </c>
      <c r="G229" s="1258">
        <v>0</v>
      </c>
      <c r="H229" s="1199">
        <f t="shared" si="14"/>
        <v>0</v>
      </c>
    </row>
    <row r="230" spans="1:8" ht="15.6">
      <c r="A230" s="959">
        <f t="shared" si="13"/>
        <v>200</v>
      </c>
      <c r="B230" s="1262" t="s">
        <v>2588</v>
      </c>
      <c r="C230" s="1255">
        <v>0.2</v>
      </c>
      <c r="D230" s="1258">
        <v>0</v>
      </c>
      <c r="E230" s="1258">
        <v>0</v>
      </c>
      <c r="F230" s="1258">
        <v>0</v>
      </c>
      <c r="G230" s="1258">
        <v>0</v>
      </c>
      <c r="H230" s="1199">
        <f t="shared" si="14"/>
        <v>0</v>
      </c>
    </row>
    <row r="231" spans="1:8" ht="15.6">
      <c r="A231" s="959">
        <f t="shared" si="13"/>
        <v>201</v>
      </c>
      <c r="B231" s="1262" t="s">
        <v>1835</v>
      </c>
      <c r="C231" s="1255">
        <v>0.2</v>
      </c>
      <c r="D231" s="1258">
        <v>0</v>
      </c>
      <c r="E231" s="1258">
        <v>0</v>
      </c>
      <c r="F231" s="1258">
        <v>0</v>
      </c>
      <c r="G231" s="1258">
        <v>0</v>
      </c>
      <c r="H231" s="1199">
        <f t="shared" si="14"/>
        <v>0</v>
      </c>
    </row>
    <row r="232" spans="1:8" ht="15.6">
      <c r="A232" s="959">
        <f t="shared" si="13"/>
        <v>202</v>
      </c>
      <c r="B232" s="1262" t="s">
        <v>1835</v>
      </c>
      <c r="C232" s="1255">
        <v>0.2</v>
      </c>
      <c r="D232" s="1258">
        <v>0</v>
      </c>
      <c r="E232" s="1258">
        <v>0</v>
      </c>
      <c r="F232" s="1258">
        <v>0</v>
      </c>
      <c r="G232" s="1258">
        <v>0</v>
      </c>
      <c r="H232" s="1199">
        <f t="shared" si="14"/>
        <v>0</v>
      </c>
    </row>
    <row r="233" spans="1:8" ht="15.6">
      <c r="A233" s="959">
        <f t="shared" ref="A233:A297" si="15">A232+1</f>
        <v>203</v>
      </c>
      <c r="B233" s="1262" t="s">
        <v>2589</v>
      </c>
      <c r="C233" s="1255">
        <v>0.2</v>
      </c>
      <c r="D233" s="1258">
        <v>0</v>
      </c>
      <c r="E233" s="1258">
        <v>0</v>
      </c>
      <c r="F233" s="1258">
        <v>0</v>
      </c>
      <c r="G233" s="1258">
        <v>0</v>
      </c>
      <c r="H233" s="1199">
        <f t="shared" si="14"/>
        <v>0</v>
      </c>
    </row>
    <row r="234" spans="1:8" ht="15.6">
      <c r="A234" s="959">
        <f t="shared" si="15"/>
        <v>204</v>
      </c>
      <c r="B234" s="1262" t="s">
        <v>2590</v>
      </c>
      <c r="C234" s="1255">
        <v>6.6666666666666666E-2</v>
      </c>
      <c r="D234" s="1258">
        <v>0</v>
      </c>
      <c r="E234" s="1258">
        <v>0</v>
      </c>
      <c r="F234" s="1258">
        <v>0</v>
      </c>
      <c r="G234" s="1258">
        <v>0</v>
      </c>
      <c r="H234" s="1199">
        <f t="shared" si="14"/>
        <v>0</v>
      </c>
    </row>
    <row r="235" spans="1:8" ht="15.6">
      <c r="A235" s="959">
        <f t="shared" si="15"/>
        <v>205</v>
      </c>
      <c r="B235" s="1262" t="s">
        <v>2591</v>
      </c>
      <c r="C235" s="1255">
        <v>0.2</v>
      </c>
      <c r="D235" s="1258">
        <v>0</v>
      </c>
      <c r="E235" s="1258">
        <v>0</v>
      </c>
      <c r="F235" s="1258">
        <v>0</v>
      </c>
      <c r="G235" s="1258">
        <v>0</v>
      </c>
      <c r="H235" s="1199">
        <f t="shared" si="14"/>
        <v>0</v>
      </c>
    </row>
    <row r="236" spans="1:8" ht="15.6">
      <c r="A236" s="959">
        <f t="shared" si="15"/>
        <v>206</v>
      </c>
      <c r="B236" s="1262" t="s">
        <v>2592</v>
      </c>
      <c r="C236" s="1255">
        <v>0.2</v>
      </c>
      <c r="D236" s="1258">
        <v>0</v>
      </c>
      <c r="E236" s="1258">
        <v>0</v>
      </c>
      <c r="F236" s="1258">
        <v>0</v>
      </c>
      <c r="G236" s="1258">
        <v>0</v>
      </c>
      <c r="H236" s="1199">
        <f t="shared" si="14"/>
        <v>0</v>
      </c>
    </row>
    <row r="237" spans="1:8" ht="15.6">
      <c r="A237" s="959">
        <f t="shared" si="15"/>
        <v>207</v>
      </c>
      <c r="B237" s="1262" t="s">
        <v>2593</v>
      </c>
      <c r="C237" s="1255">
        <v>0.2</v>
      </c>
      <c r="D237" s="1258">
        <v>0</v>
      </c>
      <c r="E237" s="1258">
        <v>0</v>
      </c>
      <c r="F237" s="1258">
        <v>0</v>
      </c>
      <c r="G237" s="1258">
        <v>0</v>
      </c>
      <c r="H237" s="1199">
        <f t="shared" si="14"/>
        <v>0</v>
      </c>
    </row>
    <row r="238" spans="1:8" ht="15.6">
      <c r="A238" s="959">
        <f t="shared" si="15"/>
        <v>208</v>
      </c>
      <c r="B238" s="1262" t="s">
        <v>2616</v>
      </c>
      <c r="C238" s="1255">
        <v>0.2</v>
      </c>
      <c r="D238" s="1258">
        <v>0</v>
      </c>
      <c r="E238" s="1258">
        <v>0</v>
      </c>
      <c r="F238" s="1258">
        <v>0</v>
      </c>
      <c r="G238" s="1258">
        <v>0</v>
      </c>
      <c r="H238" s="1199">
        <f t="shared" si="14"/>
        <v>0</v>
      </c>
    </row>
    <row r="239" spans="1:8" ht="15.6">
      <c r="A239" s="959">
        <f t="shared" si="15"/>
        <v>209</v>
      </c>
      <c r="B239" s="1262" t="s">
        <v>2617</v>
      </c>
      <c r="C239" s="1255">
        <v>0.2</v>
      </c>
      <c r="D239" s="1258">
        <v>1.9790604918745736E-11</v>
      </c>
      <c r="E239" s="1258">
        <v>0</v>
      </c>
      <c r="F239" s="1258">
        <v>0</v>
      </c>
      <c r="G239" s="1258">
        <v>0</v>
      </c>
      <c r="H239" s="1199">
        <f t="shared" si="14"/>
        <v>1.9790604918745736E-11</v>
      </c>
    </row>
    <row r="240" spans="1:8" ht="15.6">
      <c r="A240" s="959">
        <f t="shared" si="15"/>
        <v>210</v>
      </c>
      <c r="B240" s="1262" t="s">
        <v>2618</v>
      </c>
      <c r="C240" s="1255">
        <v>0.2</v>
      </c>
      <c r="D240" s="1258">
        <v>0</v>
      </c>
      <c r="E240" s="1258">
        <v>0</v>
      </c>
      <c r="F240" s="1258">
        <v>0</v>
      </c>
      <c r="G240" s="1258">
        <v>0</v>
      </c>
      <c r="H240" s="1199">
        <f t="shared" si="14"/>
        <v>0</v>
      </c>
    </row>
    <row r="241" spans="1:8" ht="15.6">
      <c r="A241" s="959">
        <f t="shared" si="15"/>
        <v>211</v>
      </c>
      <c r="B241" s="1262" t="s">
        <v>2619</v>
      </c>
      <c r="C241" s="1255">
        <v>0.2</v>
      </c>
      <c r="D241" s="1258">
        <v>-5.8207660913467407E-11</v>
      </c>
      <c r="E241" s="1258">
        <v>0</v>
      </c>
      <c r="F241" s="1258">
        <v>0</v>
      </c>
      <c r="G241" s="1258">
        <v>0</v>
      </c>
      <c r="H241" s="1199">
        <f t="shared" si="14"/>
        <v>-5.8207660913467407E-11</v>
      </c>
    </row>
    <row r="242" spans="1:8" ht="15.6">
      <c r="A242" s="959">
        <f t="shared" si="15"/>
        <v>212</v>
      </c>
      <c r="B242" s="1262" t="s">
        <v>2620</v>
      </c>
      <c r="C242" s="1255">
        <v>0.2</v>
      </c>
      <c r="D242" s="1258">
        <v>-3.637978807091713E-12</v>
      </c>
      <c r="E242" s="1258">
        <v>0</v>
      </c>
      <c r="F242" s="1258">
        <v>0</v>
      </c>
      <c r="G242" s="1258">
        <v>0</v>
      </c>
      <c r="H242" s="1199">
        <f t="shared" si="14"/>
        <v>-3.637978807091713E-12</v>
      </c>
    </row>
    <row r="243" spans="1:8" ht="15.6">
      <c r="A243" s="959">
        <f t="shared" si="15"/>
        <v>213</v>
      </c>
      <c r="B243" s="1262" t="s">
        <v>2621</v>
      </c>
      <c r="C243" s="1255">
        <v>0.2</v>
      </c>
      <c r="D243" s="1258">
        <v>0</v>
      </c>
      <c r="E243" s="1258">
        <v>0</v>
      </c>
      <c r="F243" s="1258">
        <v>0</v>
      </c>
      <c r="G243" s="1258">
        <v>0</v>
      </c>
      <c r="H243" s="1199">
        <f t="shared" si="14"/>
        <v>0</v>
      </c>
    </row>
    <row r="244" spans="1:8" ht="15.6">
      <c r="A244" s="959">
        <f t="shared" si="15"/>
        <v>214</v>
      </c>
      <c r="B244" s="1262" t="s">
        <v>2622</v>
      </c>
      <c r="C244" s="1255">
        <v>0.2</v>
      </c>
      <c r="D244" s="1258">
        <v>0</v>
      </c>
      <c r="E244" s="1258">
        <v>0</v>
      </c>
      <c r="F244" s="1258">
        <v>0</v>
      </c>
      <c r="G244" s="1258">
        <v>0</v>
      </c>
      <c r="H244" s="1199">
        <f t="shared" si="14"/>
        <v>0</v>
      </c>
    </row>
    <row r="245" spans="1:8" ht="15.6">
      <c r="A245" s="959">
        <f t="shared" si="15"/>
        <v>215</v>
      </c>
      <c r="B245" s="1262" t="s">
        <v>2623</v>
      </c>
      <c r="C245" s="1255">
        <v>0.2</v>
      </c>
      <c r="D245" s="1258">
        <v>0</v>
      </c>
      <c r="E245" s="1258">
        <v>0</v>
      </c>
      <c r="F245" s="1258">
        <v>0</v>
      </c>
      <c r="G245" s="1258">
        <v>0</v>
      </c>
      <c r="H245" s="1199">
        <f t="shared" si="14"/>
        <v>0</v>
      </c>
    </row>
    <row r="246" spans="1:8" ht="15.6">
      <c r="A246" s="959">
        <f t="shared" si="15"/>
        <v>216</v>
      </c>
      <c r="B246" s="1262" t="s">
        <v>2624</v>
      </c>
      <c r="C246" s="1255">
        <v>0.2</v>
      </c>
      <c r="D246" s="1258">
        <v>0</v>
      </c>
      <c r="E246" s="1258">
        <v>0</v>
      </c>
      <c r="F246" s="1258">
        <v>0</v>
      </c>
      <c r="G246" s="1258">
        <v>0</v>
      </c>
      <c r="H246" s="1199">
        <f t="shared" si="14"/>
        <v>0</v>
      </c>
    </row>
    <row r="247" spans="1:8" ht="15.6">
      <c r="A247" s="959">
        <f t="shared" si="15"/>
        <v>217</v>
      </c>
      <c r="B247" s="1262" t="s">
        <v>2625</v>
      </c>
      <c r="C247" s="1255">
        <v>0.2</v>
      </c>
      <c r="D247" s="1258">
        <v>0</v>
      </c>
      <c r="E247" s="1258">
        <v>0</v>
      </c>
      <c r="F247" s="1258">
        <v>0</v>
      </c>
      <c r="G247" s="1258">
        <v>0</v>
      </c>
      <c r="H247" s="1199">
        <f t="shared" si="14"/>
        <v>0</v>
      </c>
    </row>
    <row r="248" spans="1:8" ht="15.6">
      <c r="A248" s="959">
        <f t="shared" si="15"/>
        <v>218</v>
      </c>
      <c r="B248" s="1262" t="s">
        <v>2626</v>
      </c>
      <c r="C248" s="1255">
        <v>0.2</v>
      </c>
      <c r="D248" s="1258">
        <v>2.9103830456733704E-11</v>
      </c>
      <c r="E248" s="1258">
        <v>0</v>
      </c>
      <c r="F248" s="1258">
        <v>0</v>
      </c>
      <c r="G248" s="1258">
        <v>0</v>
      </c>
      <c r="H248" s="1199">
        <f t="shared" si="14"/>
        <v>2.9103830456733704E-11</v>
      </c>
    </row>
    <row r="249" spans="1:8" ht="15.6">
      <c r="A249" s="959">
        <f t="shared" si="15"/>
        <v>219</v>
      </c>
      <c r="B249" s="1262" t="s">
        <v>2627</v>
      </c>
      <c r="C249" s="1255">
        <v>0.2</v>
      </c>
      <c r="D249" s="1258">
        <v>0</v>
      </c>
      <c r="E249" s="1258">
        <v>0</v>
      </c>
      <c r="F249" s="1258">
        <v>0</v>
      </c>
      <c r="G249" s="1258">
        <v>0</v>
      </c>
      <c r="H249" s="1199">
        <f t="shared" si="14"/>
        <v>0</v>
      </c>
    </row>
    <row r="250" spans="1:8" ht="15.6">
      <c r="A250" s="959">
        <f t="shared" si="15"/>
        <v>220</v>
      </c>
      <c r="B250" s="1262" t="s">
        <v>2628</v>
      </c>
      <c r="C250" s="1255">
        <v>0.2</v>
      </c>
      <c r="D250" s="1258">
        <v>0</v>
      </c>
      <c r="E250" s="1258">
        <v>0</v>
      </c>
      <c r="F250" s="1258">
        <v>0</v>
      </c>
      <c r="G250" s="1258">
        <v>0</v>
      </c>
      <c r="H250" s="1199">
        <f t="shared" si="14"/>
        <v>0</v>
      </c>
    </row>
    <row r="251" spans="1:8" ht="15.6">
      <c r="A251" s="959">
        <f t="shared" si="15"/>
        <v>221</v>
      </c>
      <c r="B251" s="1262" t="s">
        <v>2629</v>
      </c>
      <c r="C251" s="1255">
        <v>0.2</v>
      </c>
      <c r="D251" s="1258">
        <v>0</v>
      </c>
      <c r="E251" s="1258">
        <v>0</v>
      </c>
      <c r="F251" s="1258">
        <v>0</v>
      </c>
      <c r="G251" s="1258">
        <v>0</v>
      </c>
      <c r="H251" s="1199">
        <f t="shared" si="14"/>
        <v>0</v>
      </c>
    </row>
    <row r="252" spans="1:8" ht="15.6">
      <c r="A252" s="959">
        <f t="shared" si="15"/>
        <v>222</v>
      </c>
      <c r="B252" s="1262" t="s">
        <v>2630</v>
      </c>
      <c r="C252" s="1255">
        <v>0.2</v>
      </c>
      <c r="D252" s="1258">
        <v>0</v>
      </c>
      <c r="E252" s="1258">
        <v>0</v>
      </c>
      <c r="F252" s="1258">
        <v>0</v>
      </c>
      <c r="G252" s="1258">
        <v>0</v>
      </c>
      <c r="H252" s="1199">
        <f t="shared" si="14"/>
        <v>0</v>
      </c>
    </row>
    <row r="253" spans="1:8" ht="15.6">
      <c r="A253" s="959">
        <f t="shared" si="15"/>
        <v>223</v>
      </c>
      <c r="B253" s="1262" t="s">
        <v>2631</v>
      </c>
      <c r="C253" s="1255">
        <v>0.2</v>
      </c>
      <c r="D253" s="1258">
        <v>-1.1641532182693481E-10</v>
      </c>
      <c r="E253" s="1258">
        <v>0</v>
      </c>
      <c r="F253" s="1258">
        <v>0</v>
      </c>
      <c r="G253" s="1258">
        <v>0</v>
      </c>
      <c r="H253" s="1199">
        <f t="shared" si="14"/>
        <v>-1.1641532182693481E-10</v>
      </c>
    </row>
    <row r="254" spans="1:8" ht="15.6">
      <c r="A254" s="959">
        <f t="shared" si="15"/>
        <v>224</v>
      </c>
      <c r="B254" s="1262" t="s">
        <v>2632</v>
      </c>
      <c r="C254" s="1255">
        <v>0.2</v>
      </c>
      <c r="D254" s="1258">
        <v>0</v>
      </c>
      <c r="E254" s="1258">
        <v>0</v>
      </c>
      <c r="F254" s="1258">
        <v>0</v>
      </c>
      <c r="G254" s="1258">
        <v>0</v>
      </c>
      <c r="H254" s="1199">
        <f t="shared" si="14"/>
        <v>0</v>
      </c>
    </row>
    <row r="255" spans="1:8" ht="15.6">
      <c r="A255" s="959">
        <f t="shared" si="15"/>
        <v>225</v>
      </c>
      <c r="B255" s="1262" t="s">
        <v>2633</v>
      </c>
      <c r="C255" s="1255">
        <v>0.2</v>
      </c>
      <c r="D255" s="1258">
        <v>0</v>
      </c>
      <c r="E255" s="1258">
        <v>0</v>
      </c>
      <c r="F255" s="1258">
        <v>0</v>
      </c>
      <c r="G255" s="1258">
        <v>0</v>
      </c>
      <c r="H255" s="1199">
        <f t="shared" si="14"/>
        <v>0</v>
      </c>
    </row>
    <row r="256" spans="1:8" ht="15.6">
      <c r="A256" s="959">
        <f t="shared" si="15"/>
        <v>226</v>
      </c>
      <c r="B256" s="1262" t="s">
        <v>2634</v>
      </c>
      <c r="C256" s="1255">
        <v>0.2</v>
      </c>
      <c r="D256" s="1258">
        <v>0</v>
      </c>
      <c r="E256" s="1258">
        <v>0</v>
      </c>
      <c r="F256" s="1258">
        <v>0</v>
      </c>
      <c r="G256" s="1258">
        <v>0</v>
      </c>
      <c r="H256" s="1199">
        <f t="shared" si="14"/>
        <v>0</v>
      </c>
    </row>
    <row r="257" spans="1:8" ht="15.6">
      <c r="A257" s="959">
        <f t="shared" si="15"/>
        <v>227</v>
      </c>
      <c r="B257" s="1262" t="s">
        <v>2635</v>
      </c>
      <c r="C257" s="1255">
        <v>0.2</v>
      </c>
      <c r="D257" s="1258">
        <v>0</v>
      </c>
      <c r="E257" s="1258">
        <v>0</v>
      </c>
      <c r="F257" s="1258">
        <v>0</v>
      </c>
      <c r="G257" s="1258">
        <v>0</v>
      </c>
      <c r="H257" s="1199">
        <f t="shared" si="14"/>
        <v>0</v>
      </c>
    </row>
    <row r="258" spans="1:8" ht="15.6">
      <c r="A258" s="959">
        <f t="shared" si="15"/>
        <v>228</v>
      </c>
      <c r="B258" s="1262" t="s">
        <v>2636</v>
      </c>
      <c r="C258" s="1255">
        <v>0.2</v>
      </c>
      <c r="D258" s="1258">
        <v>0</v>
      </c>
      <c r="E258" s="1258">
        <v>0</v>
      </c>
      <c r="F258" s="1258">
        <v>0</v>
      </c>
      <c r="G258" s="1258">
        <v>0</v>
      </c>
      <c r="H258" s="1199">
        <f t="shared" si="14"/>
        <v>0</v>
      </c>
    </row>
    <row r="259" spans="1:8" ht="15.6">
      <c r="A259" s="959">
        <f t="shared" si="15"/>
        <v>229</v>
      </c>
      <c r="B259" s="1262" t="s">
        <v>2637</v>
      </c>
      <c r="C259" s="1255">
        <v>0.2</v>
      </c>
      <c r="D259" s="1258">
        <v>0</v>
      </c>
      <c r="E259" s="1258">
        <v>0</v>
      </c>
      <c r="F259" s="1258">
        <v>0</v>
      </c>
      <c r="G259" s="1258">
        <v>0</v>
      </c>
      <c r="H259" s="1199">
        <f t="shared" si="14"/>
        <v>0</v>
      </c>
    </row>
    <row r="260" spans="1:8" ht="15.6">
      <c r="A260" s="959">
        <f t="shared" si="15"/>
        <v>230</v>
      </c>
      <c r="B260" s="1262" t="s">
        <v>2638</v>
      </c>
      <c r="C260" s="1255">
        <v>0.2</v>
      </c>
      <c r="D260" s="1258">
        <v>0</v>
      </c>
      <c r="E260" s="1258">
        <v>0</v>
      </c>
      <c r="F260" s="1258">
        <v>0</v>
      </c>
      <c r="G260" s="1258">
        <v>0</v>
      </c>
      <c r="H260" s="1199">
        <f t="shared" si="14"/>
        <v>0</v>
      </c>
    </row>
    <row r="261" spans="1:8" ht="15.6">
      <c r="A261" s="959">
        <f t="shared" si="15"/>
        <v>231</v>
      </c>
      <c r="B261" s="1262" t="s">
        <v>2639</v>
      </c>
      <c r="C261" s="1255">
        <v>0.2</v>
      </c>
      <c r="D261" s="1258">
        <v>7.2759576141834259E-12</v>
      </c>
      <c r="E261" s="1258">
        <v>0</v>
      </c>
      <c r="F261" s="1258">
        <v>0</v>
      </c>
      <c r="G261" s="1258">
        <v>0</v>
      </c>
      <c r="H261" s="1199">
        <f t="shared" si="14"/>
        <v>7.2759576141834259E-12</v>
      </c>
    </row>
    <row r="262" spans="1:8" ht="15.6">
      <c r="A262" s="959">
        <f t="shared" si="15"/>
        <v>232</v>
      </c>
      <c r="B262" s="1262" t="s">
        <v>2640</v>
      </c>
      <c r="C262" s="1255">
        <v>0.2</v>
      </c>
      <c r="D262" s="1258">
        <v>-1.1641532182693481E-10</v>
      </c>
      <c r="E262" s="1258">
        <v>0</v>
      </c>
      <c r="F262" s="1258">
        <v>0</v>
      </c>
      <c r="G262" s="1258">
        <v>0</v>
      </c>
      <c r="H262" s="1199">
        <f t="shared" si="14"/>
        <v>-1.1641532182693481E-10</v>
      </c>
    </row>
    <row r="263" spans="1:8" ht="15.6">
      <c r="A263" s="959">
        <f t="shared" si="15"/>
        <v>233</v>
      </c>
      <c r="B263" s="1262" t="s">
        <v>2641</v>
      </c>
      <c r="C263" s="1255">
        <v>0.2</v>
      </c>
      <c r="D263" s="1258">
        <v>2.9103830456733704E-11</v>
      </c>
      <c r="E263" s="1258">
        <v>0</v>
      </c>
      <c r="F263" s="1258">
        <v>0</v>
      </c>
      <c r="G263" s="1258">
        <v>0</v>
      </c>
      <c r="H263" s="1199">
        <f t="shared" si="14"/>
        <v>2.9103830456733704E-11</v>
      </c>
    </row>
    <row r="264" spans="1:8" ht="15.6">
      <c r="A264" s="959">
        <f t="shared" si="15"/>
        <v>234</v>
      </c>
      <c r="B264" s="1262" t="s">
        <v>2642</v>
      </c>
      <c r="C264" s="1255">
        <v>0.2</v>
      </c>
      <c r="D264" s="1258">
        <v>0</v>
      </c>
      <c r="E264" s="1258">
        <v>0</v>
      </c>
      <c r="F264" s="1258">
        <v>0</v>
      </c>
      <c r="G264" s="1258">
        <v>0</v>
      </c>
      <c r="H264" s="1199">
        <f t="shared" si="14"/>
        <v>0</v>
      </c>
    </row>
    <row r="265" spans="1:8" ht="15.6">
      <c r="A265" s="959">
        <f t="shared" si="15"/>
        <v>235</v>
      </c>
      <c r="B265" s="1262" t="s">
        <v>2643</v>
      </c>
      <c r="C265" s="1255">
        <v>0.2</v>
      </c>
      <c r="D265" s="1258">
        <v>0</v>
      </c>
      <c r="E265" s="1258">
        <v>0</v>
      </c>
      <c r="F265" s="1258">
        <v>0</v>
      </c>
      <c r="G265" s="1258">
        <v>0</v>
      </c>
      <c r="H265" s="1199">
        <f t="shared" si="14"/>
        <v>0</v>
      </c>
    </row>
    <row r="266" spans="1:8" ht="15.6">
      <c r="A266" s="959">
        <f t="shared" si="15"/>
        <v>236</v>
      </c>
      <c r="B266" s="1262" t="s">
        <v>2645</v>
      </c>
      <c r="C266" s="1255">
        <v>0.2</v>
      </c>
      <c r="D266" s="1258">
        <v>-2.9103830456733704E-11</v>
      </c>
      <c r="E266" s="1258">
        <v>0</v>
      </c>
      <c r="F266" s="1258">
        <v>0</v>
      </c>
      <c r="G266" s="1258">
        <v>0</v>
      </c>
      <c r="H266" s="1199">
        <f t="shared" si="14"/>
        <v>-2.9103830456733704E-11</v>
      </c>
    </row>
    <row r="267" spans="1:8" ht="15.6">
      <c r="A267" s="959">
        <f t="shared" si="15"/>
        <v>237</v>
      </c>
      <c r="B267" s="1262" t="s">
        <v>2644</v>
      </c>
      <c r="C267" s="1255">
        <v>0.2</v>
      </c>
      <c r="D267" s="1258">
        <v>2.3283064365386963E-10</v>
      </c>
      <c r="E267" s="1258">
        <v>0</v>
      </c>
      <c r="F267" s="1258">
        <v>0</v>
      </c>
      <c r="G267" s="1258">
        <v>0</v>
      </c>
      <c r="H267" s="1199">
        <f t="shared" si="14"/>
        <v>2.3283064365386963E-10</v>
      </c>
    </row>
    <row r="268" spans="1:8" ht="15.6">
      <c r="A268" s="959">
        <f t="shared" si="15"/>
        <v>238</v>
      </c>
      <c r="B268" s="1262" t="s">
        <v>2669</v>
      </c>
      <c r="C268" s="1255">
        <v>0.2</v>
      </c>
      <c r="D268" s="1258">
        <v>0</v>
      </c>
      <c r="E268" s="1258">
        <v>0</v>
      </c>
      <c r="F268" s="1258">
        <v>0</v>
      </c>
      <c r="G268" s="1258">
        <v>0</v>
      </c>
      <c r="H268" s="1199">
        <f t="shared" si="14"/>
        <v>0</v>
      </c>
    </row>
    <row r="269" spans="1:8" ht="15.6">
      <c r="A269" s="959">
        <f t="shared" si="15"/>
        <v>239</v>
      </c>
      <c r="B269" s="1262" t="s">
        <v>2670</v>
      </c>
      <c r="C269" s="1255">
        <v>0.2</v>
      </c>
      <c r="D269" s="1258">
        <v>0</v>
      </c>
      <c r="E269" s="1258">
        <v>0</v>
      </c>
      <c r="F269" s="1258">
        <v>0</v>
      </c>
      <c r="G269" s="1258">
        <v>0</v>
      </c>
      <c r="H269" s="1199">
        <f t="shared" si="14"/>
        <v>0</v>
      </c>
    </row>
    <row r="270" spans="1:8" ht="15.6">
      <c r="A270" s="959">
        <f t="shared" si="15"/>
        <v>240</v>
      </c>
      <c r="B270" s="1262" t="s">
        <v>2671</v>
      </c>
      <c r="C270" s="1255">
        <v>6.6000000000000003E-2</v>
      </c>
      <c r="D270" s="1258">
        <v>-16665457.389999999</v>
      </c>
      <c r="E270" s="1258">
        <v>-2945792.99</v>
      </c>
      <c r="F270" s="1258">
        <v>0</v>
      </c>
      <c r="G270" s="1258">
        <v>0</v>
      </c>
      <c r="H270" s="1199">
        <f t="shared" si="14"/>
        <v>-19611250.379999999</v>
      </c>
    </row>
    <row r="271" spans="1:8" ht="15.6">
      <c r="A271" s="959">
        <f t="shared" si="15"/>
        <v>241</v>
      </c>
      <c r="B271" s="1262" t="s">
        <v>2672</v>
      </c>
      <c r="C271" s="1255">
        <v>0.2</v>
      </c>
      <c r="D271" s="1258">
        <v>0</v>
      </c>
      <c r="E271" s="1258">
        <v>0</v>
      </c>
      <c r="F271" s="1258">
        <v>0</v>
      </c>
      <c r="G271" s="1258">
        <v>0</v>
      </c>
      <c r="H271" s="1199">
        <f t="shared" si="14"/>
        <v>0</v>
      </c>
    </row>
    <row r="272" spans="1:8" ht="15.6">
      <c r="A272" s="959">
        <f t="shared" si="15"/>
        <v>242</v>
      </c>
      <c r="B272" s="1262" t="s">
        <v>2673</v>
      </c>
      <c r="C272" s="1255">
        <v>0.2</v>
      </c>
      <c r="D272" s="1258">
        <v>0</v>
      </c>
      <c r="E272" s="1258">
        <v>0</v>
      </c>
      <c r="F272" s="1258">
        <v>0</v>
      </c>
      <c r="G272" s="1258">
        <v>0</v>
      </c>
      <c r="H272" s="1199">
        <f t="shared" si="14"/>
        <v>0</v>
      </c>
    </row>
    <row r="273" spans="1:8" ht="15.6">
      <c r="A273" s="959">
        <f t="shared" si="15"/>
        <v>243</v>
      </c>
      <c r="B273" s="1262" t="s">
        <v>2674</v>
      </c>
      <c r="C273" s="1255">
        <v>0.2</v>
      </c>
      <c r="D273" s="1258">
        <v>4.6566128730773926E-10</v>
      </c>
      <c r="E273" s="1258">
        <v>0</v>
      </c>
      <c r="F273" s="1258">
        <v>0</v>
      </c>
      <c r="G273" s="1258">
        <v>0</v>
      </c>
      <c r="H273" s="1199">
        <f t="shared" si="14"/>
        <v>4.6566128730773926E-10</v>
      </c>
    </row>
    <row r="274" spans="1:8" ht="15.6">
      <c r="A274" s="959">
        <f t="shared" si="15"/>
        <v>244</v>
      </c>
      <c r="B274" s="1262" t="s">
        <v>2675</v>
      </c>
      <c r="C274" s="1255">
        <v>0.2</v>
      </c>
      <c r="D274" s="1258">
        <v>0</v>
      </c>
      <c r="E274" s="1258">
        <v>0</v>
      </c>
      <c r="F274" s="1258">
        <v>0</v>
      </c>
      <c r="G274" s="1258">
        <v>0</v>
      </c>
      <c r="H274" s="1199">
        <f t="shared" si="14"/>
        <v>0</v>
      </c>
    </row>
    <row r="275" spans="1:8" ht="15.6">
      <c r="A275" s="959">
        <f t="shared" si="15"/>
        <v>245</v>
      </c>
      <c r="B275" s="1262" t="s">
        <v>2676</v>
      </c>
      <c r="C275" s="1255">
        <v>0.2</v>
      </c>
      <c r="D275" s="1258">
        <v>-1.1641532182693481E-10</v>
      </c>
      <c r="E275" s="1258">
        <v>0</v>
      </c>
      <c r="F275" s="1258">
        <v>0</v>
      </c>
      <c r="G275" s="1258">
        <v>0</v>
      </c>
      <c r="H275" s="1199">
        <f t="shared" si="14"/>
        <v>-1.1641532182693481E-10</v>
      </c>
    </row>
    <row r="276" spans="1:8" ht="15.6">
      <c r="A276" s="959">
        <f t="shared" si="15"/>
        <v>246</v>
      </c>
      <c r="B276" s="1262" t="s">
        <v>2677</v>
      </c>
      <c r="C276" s="1255">
        <v>0.2</v>
      </c>
      <c r="D276" s="1258">
        <v>0</v>
      </c>
      <c r="E276" s="1258">
        <v>0</v>
      </c>
      <c r="F276" s="1258">
        <v>0</v>
      </c>
      <c r="G276" s="1258">
        <v>0</v>
      </c>
      <c r="H276" s="1199">
        <f t="shared" si="14"/>
        <v>0</v>
      </c>
    </row>
    <row r="277" spans="1:8" ht="20.399999999999999">
      <c r="A277" s="1713" t="s">
        <v>2979</v>
      </c>
      <c r="B277" s="1713"/>
      <c r="C277" s="1713"/>
      <c r="D277" s="1713"/>
      <c r="E277" s="1713"/>
      <c r="F277" s="1713"/>
      <c r="G277" s="1713"/>
      <c r="H277" s="1713"/>
    </row>
    <row r="278" spans="1:8" ht="19.2">
      <c r="A278" s="1725" t="str">
        <f>+A76</f>
        <v>For Contract Year Beginning June 1, 2024, Based on 2023 Data</v>
      </c>
      <c r="B278" s="1725"/>
      <c r="C278" s="1725"/>
      <c r="D278" s="1725"/>
      <c r="E278" s="1725"/>
      <c r="F278" s="1725"/>
      <c r="G278" s="1725"/>
      <c r="H278" s="1725"/>
    </row>
    <row r="279" spans="1:8">
      <c r="A279" s="864"/>
      <c r="B279" s="864"/>
      <c r="C279" s="864"/>
      <c r="D279" s="864"/>
      <c r="E279" s="864"/>
      <c r="F279" s="864"/>
      <c r="G279" s="864"/>
      <c r="H279" s="864"/>
    </row>
    <row r="280" spans="1:8">
      <c r="A280" s="864"/>
      <c r="B280" s="864"/>
      <c r="C280" s="928" t="s">
        <v>480</v>
      </c>
      <c r="D280" s="928" t="s">
        <v>481</v>
      </c>
      <c r="E280" s="928" t="s">
        <v>482</v>
      </c>
      <c r="F280" s="928" t="s">
        <v>483</v>
      </c>
      <c r="G280" s="928" t="s">
        <v>484</v>
      </c>
      <c r="H280" s="928" t="s">
        <v>884</v>
      </c>
    </row>
    <row r="281" spans="1:8" ht="15.6">
      <c r="A281" s="458"/>
      <c r="B281" s="458"/>
      <c r="C281" s="458"/>
      <c r="D281" s="931" t="s">
        <v>469</v>
      </c>
      <c r="E281" s="931"/>
      <c r="F281" s="931"/>
      <c r="G281" s="931"/>
      <c r="H281" s="931" t="s">
        <v>2250</v>
      </c>
    </row>
    <row r="282" spans="1:8" ht="15.6">
      <c r="A282" s="458"/>
      <c r="B282" s="458"/>
      <c r="C282" s="932" t="s">
        <v>2344</v>
      </c>
      <c r="D282" s="931" t="s">
        <v>655</v>
      </c>
      <c r="E282" s="931" t="s">
        <v>656</v>
      </c>
      <c r="F282" s="931" t="s">
        <v>656</v>
      </c>
      <c r="G282" s="931" t="s">
        <v>656</v>
      </c>
      <c r="H282" s="933" t="s">
        <v>2251</v>
      </c>
    </row>
    <row r="283" spans="1:8" ht="18.600000000000001">
      <c r="A283" s="687" t="s">
        <v>494</v>
      </c>
      <c r="B283" s="934" t="s">
        <v>880</v>
      </c>
      <c r="C283" s="935" t="s">
        <v>2483</v>
      </c>
      <c r="D283" s="936" t="s">
        <v>2251</v>
      </c>
      <c r="E283" s="935" t="s">
        <v>2484</v>
      </c>
      <c r="F283" s="934" t="s">
        <v>515</v>
      </c>
      <c r="G283" s="934" t="s">
        <v>516</v>
      </c>
      <c r="H283" s="937" t="s">
        <v>2349</v>
      </c>
    </row>
    <row r="284" spans="1:8" ht="15.6">
      <c r="A284" s="959">
        <f>A276+1</f>
        <v>247</v>
      </c>
      <c r="B284" s="1262" t="s">
        <v>2678</v>
      </c>
      <c r="C284" s="1255">
        <v>0.2</v>
      </c>
      <c r="D284" s="1258">
        <v>-7.2759576141834259E-12</v>
      </c>
      <c r="E284" s="1258">
        <v>0</v>
      </c>
      <c r="F284" s="1258">
        <v>0</v>
      </c>
      <c r="G284" s="1258">
        <v>0</v>
      </c>
      <c r="H284" s="1199">
        <f>+D284+E284+F284+G284</f>
        <v>-7.2759576141834259E-12</v>
      </c>
    </row>
    <row r="285" spans="1:8" ht="15.6">
      <c r="A285" s="959">
        <f>A284+1</f>
        <v>248</v>
      </c>
      <c r="B285" s="1262" t="s">
        <v>2679</v>
      </c>
      <c r="C285" s="1255">
        <v>0.2</v>
      </c>
      <c r="D285" s="1258">
        <v>0</v>
      </c>
      <c r="E285" s="1258">
        <v>0</v>
      </c>
      <c r="F285" s="1258">
        <v>0</v>
      </c>
      <c r="G285" s="1258">
        <v>0</v>
      </c>
      <c r="H285" s="1199">
        <f>+D285+E285+F285+G285</f>
        <v>0</v>
      </c>
    </row>
    <row r="286" spans="1:8" ht="15.6">
      <c r="A286" s="959">
        <f>A285+1</f>
        <v>249</v>
      </c>
      <c r="B286" s="1262" t="s">
        <v>2680</v>
      </c>
      <c r="C286" s="1255">
        <v>0.2</v>
      </c>
      <c r="D286" s="1258">
        <v>0</v>
      </c>
      <c r="E286" s="1258">
        <v>0</v>
      </c>
      <c r="F286" s="1258">
        <v>0</v>
      </c>
      <c r="G286" s="1258">
        <v>0</v>
      </c>
      <c r="H286" s="1199">
        <f>+D286+E286+F286+G286</f>
        <v>0</v>
      </c>
    </row>
    <row r="287" spans="1:8" ht="15.6">
      <c r="A287" s="959">
        <f>A286+1</f>
        <v>250</v>
      </c>
      <c r="B287" s="1262" t="s">
        <v>2681</v>
      </c>
      <c r="C287" s="1255">
        <v>0.2</v>
      </c>
      <c r="D287" s="1258">
        <v>0</v>
      </c>
      <c r="E287" s="1258">
        <v>0</v>
      </c>
      <c r="F287" s="1258">
        <v>0</v>
      </c>
      <c r="G287" s="1258">
        <v>0</v>
      </c>
      <c r="H287" s="1199">
        <f t="shared" si="14"/>
        <v>0</v>
      </c>
    </row>
    <row r="288" spans="1:8" ht="15.6">
      <c r="A288" s="959">
        <f t="shared" si="15"/>
        <v>251</v>
      </c>
      <c r="B288" s="1262" t="s">
        <v>2682</v>
      </c>
      <c r="C288" s="1255">
        <v>0.2</v>
      </c>
      <c r="D288" s="1258">
        <v>0</v>
      </c>
      <c r="E288" s="1258">
        <v>0</v>
      </c>
      <c r="F288" s="1258">
        <v>0</v>
      </c>
      <c r="G288" s="1258">
        <v>0</v>
      </c>
      <c r="H288" s="1199">
        <f t="shared" si="14"/>
        <v>0</v>
      </c>
    </row>
    <row r="289" spans="1:8" ht="15.6">
      <c r="A289" s="959">
        <f t="shared" si="15"/>
        <v>252</v>
      </c>
      <c r="B289" s="1262" t="s">
        <v>2683</v>
      </c>
      <c r="C289" s="1255">
        <v>0.2</v>
      </c>
      <c r="D289" s="1258">
        <v>0</v>
      </c>
      <c r="E289" s="1258">
        <v>0</v>
      </c>
      <c r="F289" s="1258">
        <v>0</v>
      </c>
      <c r="G289" s="1258">
        <v>0</v>
      </c>
      <c r="H289" s="1199">
        <f t="shared" si="14"/>
        <v>0</v>
      </c>
    </row>
    <row r="290" spans="1:8" ht="15.6">
      <c r="A290" s="959">
        <f t="shared" si="15"/>
        <v>253</v>
      </c>
      <c r="B290" s="1262" t="s">
        <v>2684</v>
      </c>
      <c r="C290" s="1255">
        <v>0.2</v>
      </c>
      <c r="D290" s="1258">
        <v>0</v>
      </c>
      <c r="E290" s="1258">
        <v>0</v>
      </c>
      <c r="F290" s="1258">
        <v>0</v>
      </c>
      <c r="G290" s="1258">
        <v>0</v>
      </c>
      <c r="H290" s="1199">
        <f t="shared" si="14"/>
        <v>0</v>
      </c>
    </row>
    <row r="291" spans="1:8" ht="15.6">
      <c r="A291" s="959">
        <f t="shared" si="15"/>
        <v>254</v>
      </c>
      <c r="B291" s="1262" t="s">
        <v>2685</v>
      </c>
      <c r="C291" s="1255">
        <v>0.2</v>
      </c>
      <c r="D291" s="1258">
        <v>0</v>
      </c>
      <c r="E291" s="1258">
        <v>0</v>
      </c>
      <c r="F291" s="1258">
        <v>0</v>
      </c>
      <c r="G291" s="1258">
        <v>0</v>
      </c>
      <c r="H291" s="1199">
        <f t="shared" si="14"/>
        <v>0</v>
      </c>
    </row>
    <row r="292" spans="1:8" ht="15.6">
      <c r="A292" s="959">
        <f t="shared" si="15"/>
        <v>255</v>
      </c>
      <c r="B292" s="1262" t="s">
        <v>2686</v>
      </c>
      <c r="C292" s="1255">
        <v>0.2</v>
      </c>
      <c r="D292" s="1258">
        <v>-7.2759576141834259E-12</v>
      </c>
      <c r="E292" s="1258">
        <v>0</v>
      </c>
      <c r="F292" s="1258">
        <v>0</v>
      </c>
      <c r="G292" s="1258">
        <v>0</v>
      </c>
      <c r="H292" s="1199">
        <f>+D292+E292+F292+G292</f>
        <v>-7.2759576141834259E-12</v>
      </c>
    </row>
    <row r="293" spans="1:8" ht="15.6">
      <c r="A293" s="959">
        <f t="shared" si="15"/>
        <v>256</v>
      </c>
      <c r="B293" s="1262" t="s">
        <v>2687</v>
      </c>
      <c r="C293" s="1255">
        <v>0.2</v>
      </c>
      <c r="D293" s="1258">
        <v>0</v>
      </c>
      <c r="E293" s="1258">
        <v>0</v>
      </c>
      <c r="F293" s="1258">
        <v>0</v>
      </c>
      <c r="G293" s="1258">
        <v>0</v>
      </c>
      <c r="H293" s="1199">
        <f>+D293+E293+F293+G293</f>
        <v>0</v>
      </c>
    </row>
    <row r="294" spans="1:8" ht="15.6">
      <c r="A294" s="959">
        <f t="shared" si="15"/>
        <v>257</v>
      </c>
      <c r="B294" s="1262" t="s">
        <v>2688</v>
      </c>
      <c r="C294" s="1255">
        <v>0.2</v>
      </c>
      <c r="D294" s="1258">
        <v>0</v>
      </c>
      <c r="E294" s="1258">
        <v>0</v>
      </c>
      <c r="F294" s="1258">
        <v>0</v>
      </c>
      <c r="G294" s="1258">
        <v>0</v>
      </c>
      <c r="H294" s="1199">
        <f>+D294+E294+F294+G294</f>
        <v>0</v>
      </c>
    </row>
    <row r="295" spans="1:8" ht="15.6">
      <c r="A295" s="959">
        <f t="shared" si="15"/>
        <v>258</v>
      </c>
      <c r="B295" s="1262" t="s">
        <v>2689</v>
      </c>
      <c r="C295" s="1255">
        <v>0.2</v>
      </c>
      <c r="D295" s="1258">
        <v>-1.1641532182693481E-10</v>
      </c>
      <c r="E295" s="1258">
        <v>0</v>
      </c>
      <c r="F295" s="1258">
        <v>0</v>
      </c>
      <c r="G295" s="1258">
        <v>0</v>
      </c>
      <c r="H295" s="1199">
        <f>+D295+E295+F295+G295</f>
        <v>-1.1641532182693481E-10</v>
      </c>
    </row>
    <row r="296" spans="1:8" ht="15.6">
      <c r="A296" s="959">
        <f t="shared" si="15"/>
        <v>259</v>
      </c>
      <c r="B296" s="1262" t="s">
        <v>2690</v>
      </c>
      <c r="C296" s="1255">
        <v>0.2</v>
      </c>
      <c r="D296" s="1258">
        <v>-2.3283064365386963E-10</v>
      </c>
      <c r="E296" s="1258">
        <v>0</v>
      </c>
      <c r="F296" s="1258">
        <v>0</v>
      </c>
      <c r="G296" s="1258">
        <v>0</v>
      </c>
      <c r="H296" s="1199">
        <f>+D296+E296+F296+G296</f>
        <v>-2.3283064365386963E-10</v>
      </c>
    </row>
    <row r="297" spans="1:8" ht="15.6">
      <c r="A297" s="959">
        <f t="shared" si="15"/>
        <v>260</v>
      </c>
      <c r="B297" s="1262" t="s">
        <v>2800</v>
      </c>
      <c r="C297" s="1255">
        <v>0.2</v>
      </c>
      <c r="D297" s="1258">
        <v>-163636.62</v>
      </c>
      <c r="E297" s="1258">
        <v>-13187.17</v>
      </c>
      <c r="F297" s="1258">
        <v>176823.79</v>
      </c>
      <c r="G297" s="1258">
        <v>0</v>
      </c>
      <c r="H297" s="1199">
        <f t="shared" ref="H297:H353" si="16">+D297+E297+F297+G297</f>
        <v>0</v>
      </c>
    </row>
    <row r="298" spans="1:8" ht="15.6">
      <c r="A298" s="959">
        <f t="shared" ref="A298:A368" si="17">A297+1</f>
        <v>261</v>
      </c>
      <c r="B298" s="1262" t="s">
        <v>2801</v>
      </c>
      <c r="C298" s="1255">
        <v>0.2</v>
      </c>
      <c r="D298" s="1258">
        <v>-4010745.0500000007</v>
      </c>
      <c r="E298" s="1258">
        <v>-68036.75</v>
      </c>
      <c r="F298" s="1258">
        <v>4078781.8</v>
      </c>
      <c r="G298" s="1258">
        <v>0</v>
      </c>
      <c r="H298" s="1199">
        <f t="shared" si="16"/>
        <v>-9.3132257461547852E-10</v>
      </c>
    </row>
    <row r="299" spans="1:8" ht="15.6">
      <c r="A299" s="959">
        <f t="shared" si="17"/>
        <v>262</v>
      </c>
      <c r="B299" s="1262" t="s">
        <v>2802</v>
      </c>
      <c r="C299" s="1255">
        <v>0.2</v>
      </c>
      <c r="D299" s="1258">
        <v>-327964.84999999998</v>
      </c>
      <c r="E299" s="1258">
        <v>-43314.770000000004</v>
      </c>
      <c r="F299" s="1258">
        <v>371279.62</v>
      </c>
      <c r="G299" s="1258">
        <v>0</v>
      </c>
      <c r="H299" s="1199">
        <f t="shared" si="16"/>
        <v>0</v>
      </c>
    </row>
    <row r="300" spans="1:8" ht="15.6">
      <c r="A300" s="959">
        <f t="shared" si="17"/>
        <v>263</v>
      </c>
      <c r="B300" s="1262" t="s">
        <v>2803</v>
      </c>
      <c r="C300" s="1255">
        <v>0.2</v>
      </c>
      <c r="D300" s="1258">
        <v>-447199.89</v>
      </c>
      <c r="E300" s="1258">
        <v>-23535.760000000002</v>
      </c>
      <c r="F300" s="1258">
        <v>470735.65</v>
      </c>
      <c r="G300" s="1258">
        <v>0</v>
      </c>
      <c r="H300" s="1199">
        <f t="shared" si="16"/>
        <v>0</v>
      </c>
    </row>
    <row r="301" spans="1:8" ht="15.6">
      <c r="A301" s="959">
        <f t="shared" si="17"/>
        <v>264</v>
      </c>
      <c r="B301" s="1262" t="s">
        <v>2804</v>
      </c>
      <c r="C301" s="1255">
        <v>0.2</v>
      </c>
      <c r="D301" s="1258">
        <v>-794816.86</v>
      </c>
      <c r="E301" s="1258">
        <v>-164138.75</v>
      </c>
      <c r="F301" s="1258">
        <v>958955.61</v>
      </c>
      <c r="G301" s="1258">
        <v>0</v>
      </c>
      <c r="H301" s="1199">
        <f t="shared" si="16"/>
        <v>0</v>
      </c>
    </row>
    <row r="302" spans="1:8" ht="15.6">
      <c r="A302" s="959">
        <f t="shared" si="17"/>
        <v>265</v>
      </c>
      <c r="B302" s="1262" t="s">
        <v>2805</v>
      </c>
      <c r="C302" s="1255">
        <v>0.2</v>
      </c>
      <c r="D302" s="1258">
        <v>-281172.29000000004</v>
      </c>
      <c r="E302" s="1258">
        <v>-63120.26</v>
      </c>
      <c r="F302" s="1258">
        <v>344292.55</v>
      </c>
      <c r="G302" s="1258">
        <v>0</v>
      </c>
      <c r="H302" s="1199">
        <f t="shared" si="16"/>
        <v>-5.8207660913467407E-11</v>
      </c>
    </row>
    <row r="303" spans="1:8" ht="15.6">
      <c r="A303" s="959">
        <f t="shared" si="17"/>
        <v>266</v>
      </c>
      <c r="B303" s="1262" t="s">
        <v>2806</v>
      </c>
      <c r="C303" s="1255">
        <v>0.2</v>
      </c>
      <c r="D303" s="1258">
        <v>-152857.70000000001</v>
      </c>
      <c r="E303" s="1258">
        <v>-30571.55</v>
      </c>
      <c r="F303" s="1258">
        <v>183429.25</v>
      </c>
      <c r="G303" s="1258">
        <v>0</v>
      </c>
      <c r="H303" s="1199">
        <f t="shared" si="16"/>
        <v>0</v>
      </c>
    </row>
    <row r="304" spans="1:8" ht="15.6">
      <c r="A304" s="959">
        <f t="shared" si="17"/>
        <v>267</v>
      </c>
      <c r="B304" s="1262" t="s">
        <v>2807</v>
      </c>
      <c r="C304" s="1255">
        <v>0.2</v>
      </c>
      <c r="D304" s="1258">
        <v>-115852.21</v>
      </c>
      <c r="E304" s="1258">
        <v>-1965.15</v>
      </c>
      <c r="F304" s="1258">
        <v>117817.36</v>
      </c>
      <c r="G304" s="1258">
        <v>0</v>
      </c>
      <c r="H304" s="1199">
        <f t="shared" si="16"/>
        <v>0</v>
      </c>
    </row>
    <row r="305" spans="1:8" ht="15.6">
      <c r="A305" s="959">
        <f t="shared" si="17"/>
        <v>268</v>
      </c>
      <c r="B305" s="1262" t="s">
        <v>2808</v>
      </c>
      <c r="C305" s="1255">
        <v>0.2</v>
      </c>
      <c r="D305" s="1258">
        <v>-732241.89</v>
      </c>
      <c r="E305" s="1258">
        <v>-96711.19</v>
      </c>
      <c r="F305" s="1258">
        <v>828953.08000000007</v>
      </c>
      <c r="G305" s="1258">
        <v>0</v>
      </c>
      <c r="H305" s="1199">
        <f t="shared" si="16"/>
        <v>0</v>
      </c>
    </row>
    <row r="306" spans="1:8" ht="15.6">
      <c r="A306" s="959">
        <f t="shared" si="17"/>
        <v>269</v>
      </c>
      <c r="B306" s="1262" t="s">
        <v>2809</v>
      </c>
      <c r="C306" s="1255">
        <v>0.2</v>
      </c>
      <c r="D306" s="1258">
        <v>-1028860.8899999999</v>
      </c>
      <c r="E306" s="1258">
        <v>-230968.81</v>
      </c>
      <c r="F306" s="1258">
        <v>1259829.7</v>
      </c>
      <c r="G306" s="1258">
        <v>0</v>
      </c>
      <c r="H306" s="1199">
        <f t="shared" si="16"/>
        <v>0</v>
      </c>
    </row>
    <row r="307" spans="1:8" ht="15.6">
      <c r="A307" s="959">
        <f t="shared" si="17"/>
        <v>270</v>
      </c>
      <c r="B307" s="1262" t="s">
        <v>2810</v>
      </c>
      <c r="C307" s="1255">
        <v>0.2</v>
      </c>
      <c r="D307" s="1258">
        <v>-73109.48</v>
      </c>
      <c r="E307" s="1258">
        <v>-3900.1</v>
      </c>
      <c r="F307" s="1258">
        <v>77009.58</v>
      </c>
      <c r="G307" s="1258">
        <v>0</v>
      </c>
      <c r="H307" s="1199">
        <f t="shared" si="16"/>
        <v>0</v>
      </c>
    </row>
    <row r="308" spans="1:8" ht="15.6">
      <c r="A308" s="959">
        <f t="shared" si="17"/>
        <v>271</v>
      </c>
      <c r="B308" s="1262" t="s">
        <v>2811</v>
      </c>
      <c r="C308" s="1255">
        <v>0.2</v>
      </c>
      <c r="D308" s="1258">
        <v>-253439.17</v>
      </c>
      <c r="E308" s="1258">
        <v>-39003.32</v>
      </c>
      <c r="F308" s="1258">
        <v>292442.49</v>
      </c>
      <c r="G308" s="1258">
        <v>0</v>
      </c>
      <c r="H308" s="1199">
        <f t="shared" si="16"/>
        <v>0</v>
      </c>
    </row>
    <row r="309" spans="1:8" ht="15.6">
      <c r="A309" s="959">
        <f t="shared" si="17"/>
        <v>272</v>
      </c>
      <c r="B309" s="1262" t="s">
        <v>2812</v>
      </c>
      <c r="C309" s="1255">
        <v>0.2</v>
      </c>
      <c r="D309" s="1258">
        <v>-66934.090000000011</v>
      </c>
      <c r="E309" s="1258">
        <v>-15028.81</v>
      </c>
      <c r="F309" s="1258">
        <v>81962.900000000009</v>
      </c>
      <c r="G309" s="1258">
        <v>0</v>
      </c>
      <c r="H309" s="1199">
        <f t="shared" si="16"/>
        <v>0</v>
      </c>
    </row>
    <row r="310" spans="1:8" ht="15.6">
      <c r="A310" s="959">
        <f t="shared" si="17"/>
        <v>273</v>
      </c>
      <c r="B310" s="1262" t="s">
        <v>2813</v>
      </c>
      <c r="C310" s="1255">
        <v>0.2</v>
      </c>
      <c r="D310" s="1258">
        <v>-144814.41</v>
      </c>
      <c r="E310" s="1258">
        <v>-22363.48</v>
      </c>
      <c r="F310" s="1258">
        <v>167177.89000000001</v>
      </c>
      <c r="G310" s="1258">
        <v>0</v>
      </c>
      <c r="H310" s="1199">
        <f t="shared" si="16"/>
        <v>0</v>
      </c>
    </row>
    <row r="311" spans="1:8" ht="15.6">
      <c r="A311" s="959">
        <f t="shared" si="17"/>
        <v>274</v>
      </c>
      <c r="B311" s="1262" t="s">
        <v>2814</v>
      </c>
      <c r="C311" s="1255">
        <v>0.2</v>
      </c>
      <c r="D311" s="1258">
        <v>-838305.84000000008</v>
      </c>
      <c r="E311" s="1258">
        <v>-44121.37</v>
      </c>
      <c r="F311" s="1258">
        <v>882427.21</v>
      </c>
      <c r="G311" s="1258">
        <v>0</v>
      </c>
      <c r="H311" s="1199">
        <f t="shared" si="16"/>
        <v>-1.1641532182693481E-10</v>
      </c>
    </row>
    <row r="312" spans="1:8" ht="15.6">
      <c r="A312" s="959">
        <f t="shared" si="17"/>
        <v>275</v>
      </c>
      <c r="B312" s="1262" t="s">
        <v>2815</v>
      </c>
      <c r="C312" s="1255">
        <v>0.2</v>
      </c>
      <c r="D312" s="1258">
        <v>-231330.5</v>
      </c>
      <c r="E312" s="1258">
        <v>-46266.080000000002</v>
      </c>
      <c r="F312" s="1258">
        <v>277596.58</v>
      </c>
      <c r="G312" s="1258">
        <v>0</v>
      </c>
      <c r="H312" s="1199">
        <f t="shared" si="16"/>
        <v>0</v>
      </c>
    </row>
    <row r="313" spans="1:8" ht="15.6">
      <c r="A313" s="959">
        <f t="shared" si="17"/>
        <v>276</v>
      </c>
      <c r="B313" s="1262" t="s">
        <v>2816</v>
      </c>
      <c r="C313" s="1255">
        <v>0.2</v>
      </c>
      <c r="D313" s="1258">
        <v>-292171.51</v>
      </c>
      <c r="E313" s="1258">
        <v>-20911.7</v>
      </c>
      <c r="F313" s="1258">
        <v>313083.21000000002</v>
      </c>
      <c r="G313" s="1258">
        <v>0</v>
      </c>
      <c r="H313" s="1199">
        <f t="shared" si="16"/>
        <v>0</v>
      </c>
    </row>
    <row r="314" spans="1:8" ht="15.6">
      <c r="A314" s="959">
        <f t="shared" si="17"/>
        <v>277</v>
      </c>
      <c r="B314" s="1262" t="s">
        <v>2817</v>
      </c>
      <c r="C314" s="1255">
        <v>0.2</v>
      </c>
      <c r="D314" s="1258">
        <v>-104999.48000000001</v>
      </c>
      <c r="E314" s="1258">
        <v>-9545.52</v>
      </c>
      <c r="F314" s="1258">
        <v>114545</v>
      </c>
      <c r="G314" s="1258">
        <v>0</v>
      </c>
      <c r="H314" s="1199">
        <f t="shared" si="16"/>
        <v>-1.4551915228366852E-11</v>
      </c>
    </row>
    <row r="315" spans="1:8" ht="15.6">
      <c r="A315" s="959">
        <f t="shared" si="17"/>
        <v>278</v>
      </c>
      <c r="B315" s="1262" t="s">
        <v>2818</v>
      </c>
      <c r="C315" s="1255">
        <v>0.2</v>
      </c>
      <c r="D315" s="1258">
        <v>-512839.94</v>
      </c>
      <c r="E315" s="1258">
        <v>-79195.72</v>
      </c>
      <c r="F315" s="1258">
        <v>592035.66</v>
      </c>
      <c r="G315" s="1258">
        <v>0</v>
      </c>
      <c r="H315" s="1199">
        <f t="shared" si="16"/>
        <v>0</v>
      </c>
    </row>
    <row r="316" spans="1:8" ht="15.6">
      <c r="A316" s="959">
        <f t="shared" si="17"/>
        <v>279</v>
      </c>
      <c r="B316" s="1262" t="s">
        <v>2819</v>
      </c>
      <c r="C316" s="1255">
        <v>0.2</v>
      </c>
      <c r="D316" s="1258">
        <v>-141759.1</v>
      </c>
      <c r="E316" s="1258">
        <v>-29646.850000000002</v>
      </c>
      <c r="F316" s="1258">
        <v>171405.95</v>
      </c>
      <c r="G316" s="1258">
        <v>0</v>
      </c>
      <c r="H316" s="1199">
        <f t="shared" si="16"/>
        <v>0</v>
      </c>
    </row>
    <row r="317" spans="1:8" ht="15.6">
      <c r="A317" s="959">
        <f t="shared" si="17"/>
        <v>280</v>
      </c>
      <c r="B317" s="1262" t="s">
        <v>2820</v>
      </c>
      <c r="C317" s="1255">
        <v>0.2</v>
      </c>
      <c r="D317" s="1258">
        <v>-189037.71</v>
      </c>
      <c r="E317" s="1258">
        <v>-9949.36</v>
      </c>
      <c r="F317" s="1258">
        <v>198987.07</v>
      </c>
      <c r="G317" s="1258">
        <v>0</v>
      </c>
      <c r="H317" s="1199">
        <f t="shared" si="16"/>
        <v>0</v>
      </c>
    </row>
    <row r="318" spans="1:8" ht="15.6">
      <c r="A318" s="959">
        <f t="shared" si="17"/>
        <v>281</v>
      </c>
      <c r="B318" s="1262" t="s">
        <v>2821</v>
      </c>
      <c r="C318" s="1255">
        <v>0.2</v>
      </c>
      <c r="D318" s="1258">
        <v>-236898.71000000002</v>
      </c>
      <c r="E318" s="1258">
        <v>-4015.26</v>
      </c>
      <c r="F318" s="1258">
        <v>240913.97</v>
      </c>
      <c r="G318" s="1258">
        <v>0</v>
      </c>
      <c r="H318" s="1199">
        <f t="shared" si="16"/>
        <v>-2.9103830456733704E-11</v>
      </c>
    </row>
    <row r="319" spans="1:8" ht="15.6">
      <c r="A319" s="959">
        <f t="shared" si="17"/>
        <v>282</v>
      </c>
      <c r="B319" s="1262" t="s">
        <v>2822</v>
      </c>
      <c r="C319" s="1255">
        <v>0.2</v>
      </c>
      <c r="D319" s="1258">
        <v>-424769.36</v>
      </c>
      <c r="E319" s="1258">
        <v>-14646.99</v>
      </c>
      <c r="F319" s="1258">
        <v>439416.35000000003</v>
      </c>
      <c r="G319" s="1258">
        <v>0</v>
      </c>
      <c r="H319" s="1199">
        <f t="shared" si="16"/>
        <v>5.8207660913467407E-11</v>
      </c>
    </row>
    <row r="320" spans="1:8" ht="15.6">
      <c r="A320" s="959">
        <f t="shared" si="17"/>
        <v>283</v>
      </c>
      <c r="B320" s="1262" t="s">
        <v>2823</v>
      </c>
      <c r="C320" s="1255">
        <v>0.2</v>
      </c>
      <c r="D320" s="1258">
        <v>-161666.38</v>
      </c>
      <c r="E320" s="1258">
        <v>-5575.63</v>
      </c>
      <c r="F320" s="1258">
        <v>167242.01</v>
      </c>
      <c r="G320" s="1258">
        <v>0</v>
      </c>
      <c r="H320" s="1199">
        <f t="shared" si="16"/>
        <v>0</v>
      </c>
    </row>
    <row r="321" spans="1:8" ht="15.6">
      <c r="A321" s="959">
        <f t="shared" si="17"/>
        <v>284</v>
      </c>
      <c r="B321" s="1262" t="s">
        <v>2824</v>
      </c>
      <c r="C321" s="1255">
        <v>0.2</v>
      </c>
      <c r="D321" s="1258">
        <v>-838428.07000000007</v>
      </c>
      <c r="E321" s="1258">
        <v>-95765.97</v>
      </c>
      <c r="F321" s="1258">
        <v>934194.04</v>
      </c>
      <c r="G321" s="1258">
        <v>0</v>
      </c>
      <c r="H321" s="1199">
        <f t="shared" si="16"/>
        <v>0</v>
      </c>
    </row>
    <row r="322" spans="1:8" ht="15.6">
      <c r="A322" s="959">
        <f t="shared" si="17"/>
        <v>285</v>
      </c>
      <c r="B322" s="1262" t="s">
        <v>2825</v>
      </c>
      <c r="C322" s="1255">
        <v>0.2</v>
      </c>
      <c r="D322" s="1258">
        <v>-75874.33</v>
      </c>
      <c r="E322" s="1258">
        <v>-15174.85</v>
      </c>
      <c r="F322" s="1258">
        <v>91049.180000000008</v>
      </c>
      <c r="G322" s="1258">
        <v>0</v>
      </c>
      <c r="H322" s="1199">
        <f t="shared" si="16"/>
        <v>0</v>
      </c>
    </row>
    <row r="323" spans="1:8" ht="15.6">
      <c r="A323" s="959">
        <f t="shared" si="17"/>
        <v>286</v>
      </c>
      <c r="B323" s="1262" t="s">
        <v>2826</v>
      </c>
      <c r="C323" s="1255">
        <v>0.2</v>
      </c>
      <c r="D323" s="1258">
        <v>-43497.790000000008</v>
      </c>
      <c r="E323" s="1258">
        <v>-9764.7800000000007</v>
      </c>
      <c r="F323" s="1258">
        <v>53262.57</v>
      </c>
      <c r="G323" s="1258">
        <v>0</v>
      </c>
      <c r="H323" s="1199">
        <f t="shared" si="16"/>
        <v>-7.2759576141834259E-12</v>
      </c>
    </row>
    <row r="324" spans="1:8" ht="15.6">
      <c r="A324" s="959">
        <f t="shared" si="17"/>
        <v>287</v>
      </c>
      <c r="B324" s="1262" t="s">
        <v>2827</v>
      </c>
      <c r="C324" s="1255">
        <v>0.2</v>
      </c>
      <c r="D324" s="1258">
        <v>-54926.340000000004</v>
      </c>
      <c r="E324" s="1258">
        <v>-877.54</v>
      </c>
      <c r="F324" s="1258">
        <v>55803.880000000005</v>
      </c>
      <c r="G324" s="1258">
        <v>0</v>
      </c>
      <c r="H324" s="1199">
        <f t="shared" si="16"/>
        <v>0</v>
      </c>
    </row>
    <row r="325" spans="1:8" ht="15.6">
      <c r="A325" s="959">
        <f t="shared" si="17"/>
        <v>288</v>
      </c>
      <c r="B325" s="1262" t="s">
        <v>2828</v>
      </c>
      <c r="C325" s="1255">
        <v>0.2</v>
      </c>
      <c r="D325" s="1258">
        <v>-85907.6</v>
      </c>
      <c r="E325" s="1258">
        <v>-1456.06</v>
      </c>
      <c r="F325" s="1258">
        <v>87363.66</v>
      </c>
      <c r="G325" s="1258">
        <v>0</v>
      </c>
      <c r="H325" s="1199">
        <f t="shared" si="16"/>
        <v>0</v>
      </c>
    </row>
    <row r="326" spans="1:8" ht="15.6">
      <c r="A326" s="959">
        <f t="shared" si="17"/>
        <v>289</v>
      </c>
      <c r="B326" s="1262" t="s">
        <v>2829</v>
      </c>
      <c r="C326" s="1255">
        <v>0.2</v>
      </c>
      <c r="D326" s="1258">
        <v>-395552.04</v>
      </c>
      <c r="E326" s="1258">
        <v>-6704.27</v>
      </c>
      <c r="F326" s="1258">
        <v>402256.31</v>
      </c>
      <c r="G326" s="1258">
        <v>0</v>
      </c>
      <c r="H326" s="1199">
        <f t="shared" si="16"/>
        <v>0</v>
      </c>
    </row>
    <row r="327" spans="1:8" ht="15.6">
      <c r="A327" s="959">
        <f t="shared" si="17"/>
        <v>290</v>
      </c>
      <c r="B327" s="1262" t="s">
        <v>2830</v>
      </c>
      <c r="C327" s="1255">
        <v>0.2</v>
      </c>
      <c r="D327" s="1258">
        <v>-92208.41</v>
      </c>
      <c r="E327" s="1258">
        <v>-1562.8500000000001</v>
      </c>
      <c r="F327" s="1258">
        <v>93771.26</v>
      </c>
      <c r="G327" s="1258">
        <v>0</v>
      </c>
      <c r="H327" s="1199">
        <f t="shared" si="16"/>
        <v>-1.4551915228366852E-11</v>
      </c>
    </row>
    <row r="328" spans="1:8" ht="15.6">
      <c r="A328" s="959">
        <f t="shared" si="17"/>
        <v>291</v>
      </c>
      <c r="B328" s="1262" t="s">
        <v>2831</v>
      </c>
      <c r="C328" s="1255">
        <v>0.2</v>
      </c>
      <c r="D328" s="1258">
        <v>-227877.63999999998</v>
      </c>
      <c r="E328" s="1258">
        <v>-20716.27</v>
      </c>
      <c r="F328" s="1258">
        <v>248593.91</v>
      </c>
      <c r="G328" s="1258">
        <v>0</v>
      </c>
      <c r="H328" s="1199">
        <f t="shared" si="16"/>
        <v>2.9103830456733704E-11</v>
      </c>
    </row>
    <row r="329" spans="1:8" ht="15.6">
      <c r="A329" s="959">
        <f t="shared" si="17"/>
        <v>292</v>
      </c>
      <c r="B329" s="1262" t="s">
        <v>2832</v>
      </c>
      <c r="C329" s="1255">
        <v>0.2</v>
      </c>
      <c r="D329" s="1258">
        <v>-194473.43</v>
      </c>
      <c r="E329" s="1258">
        <v>-17659.12</v>
      </c>
      <c r="F329" s="1258">
        <v>212132.55000000002</v>
      </c>
      <c r="G329" s="1258">
        <v>0</v>
      </c>
      <c r="H329" s="1199">
        <f t="shared" si="16"/>
        <v>2.9103830456733704E-11</v>
      </c>
    </row>
    <row r="330" spans="1:8" ht="15.6">
      <c r="A330" s="959">
        <f t="shared" si="17"/>
        <v>293</v>
      </c>
      <c r="B330" s="1262" t="s">
        <v>2833</v>
      </c>
      <c r="C330" s="1255">
        <v>0.2</v>
      </c>
      <c r="D330" s="1258">
        <v>-354600.06</v>
      </c>
      <c r="E330" s="1258">
        <v>-70920.05</v>
      </c>
      <c r="F330" s="1258">
        <v>425520.11</v>
      </c>
      <c r="G330" s="1258">
        <v>0</v>
      </c>
      <c r="H330" s="1199">
        <f t="shared" si="16"/>
        <v>0</v>
      </c>
    </row>
    <row r="331" spans="1:8" ht="15.6">
      <c r="A331" s="959">
        <f t="shared" si="17"/>
        <v>294</v>
      </c>
      <c r="B331" s="1262" t="s">
        <v>2834</v>
      </c>
      <c r="C331" s="1255">
        <v>0.2</v>
      </c>
      <c r="D331" s="1258">
        <v>-23441.89</v>
      </c>
      <c r="E331" s="1258">
        <v>-1233.79</v>
      </c>
      <c r="F331" s="1258">
        <v>24675.68</v>
      </c>
      <c r="G331" s="1258">
        <v>0</v>
      </c>
      <c r="H331" s="1199">
        <f t="shared" si="16"/>
        <v>0</v>
      </c>
    </row>
    <row r="332" spans="1:8" ht="15.6">
      <c r="A332" s="959">
        <f t="shared" si="17"/>
        <v>295</v>
      </c>
      <c r="B332" s="1262" t="s">
        <v>2835</v>
      </c>
      <c r="C332" s="1255">
        <v>0.2</v>
      </c>
      <c r="D332" s="1258">
        <v>-21184.69</v>
      </c>
      <c r="E332" s="1258">
        <v>-1114.99</v>
      </c>
      <c r="F332" s="1258">
        <v>22299.68</v>
      </c>
      <c r="G332" s="1258">
        <v>0</v>
      </c>
      <c r="H332" s="1199">
        <f t="shared" si="16"/>
        <v>0</v>
      </c>
    </row>
    <row r="333" spans="1:8" ht="15.6">
      <c r="A333" s="959">
        <f t="shared" si="17"/>
        <v>296</v>
      </c>
      <c r="B333" s="1262" t="s">
        <v>2836</v>
      </c>
      <c r="C333" s="1255">
        <v>0.2</v>
      </c>
      <c r="D333" s="1258">
        <v>-406902.98000000004</v>
      </c>
      <c r="E333" s="1258">
        <v>-6896.66</v>
      </c>
      <c r="F333" s="1258">
        <v>413799.64</v>
      </c>
      <c r="G333" s="1258">
        <v>0</v>
      </c>
      <c r="H333" s="1199">
        <f t="shared" si="16"/>
        <v>0</v>
      </c>
    </row>
    <row r="334" spans="1:8" ht="15.6">
      <c r="A334" s="959">
        <f t="shared" si="17"/>
        <v>297</v>
      </c>
      <c r="B334" s="1262" t="s">
        <v>2837</v>
      </c>
      <c r="C334" s="1255">
        <v>0.2</v>
      </c>
      <c r="D334" s="1258">
        <v>-158581.45000000001</v>
      </c>
      <c r="E334" s="1258">
        <v>-17620.170000000002</v>
      </c>
      <c r="F334" s="1258">
        <v>176201.62</v>
      </c>
      <c r="G334" s="1258">
        <v>0</v>
      </c>
      <c r="H334" s="1199">
        <f t="shared" si="16"/>
        <v>-2.9103830456733704E-11</v>
      </c>
    </row>
    <row r="335" spans="1:8" ht="15.6">
      <c r="A335" s="959">
        <f t="shared" si="17"/>
        <v>298</v>
      </c>
      <c r="B335" s="1262" t="s">
        <v>2838</v>
      </c>
      <c r="C335" s="1255">
        <v>0.2</v>
      </c>
      <c r="D335" s="1258">
        <v>-544429.83000000007</v>
      </c>
      <c r="E335" s="1258">
        <v>-18780.59</v>
      </c>
      <c r="F335" s="1258">
        <v>563210.42000000004</v>
      </c>
      <c r="G335" s="1258">
        <v>0</v>
      </c>
      <c r="H335" s="1199">
        <f t="shared" si="16"/>
        <v>0</v>
      </c>
    </row>
    <row r="336" spans="1:8" ht="15.6">
      <c r="A336" s="959">
        <f t="shared" si="17"/>
        <v>299</v>
      </c>
      <c r="B336" s="1262" t="s">
        <v>2839</v>
      </c>
      <c r="C336" s="1255">
        <v>0.2</v>
      </c>
      <c r="D336" s="1258">
        <v>-1475119.81</v>
      </c>
      <c r="E336" s="1258">
        <v>-25002.03</v>
      </c>
      <c r="F336" s="1258">
        <v>1500121.84</v>
      </c>
      <c r="G336" s="1258">
        <v>0</v>
      </c>
      <c r="H336" s="1199">
        <f t="shared" si="16"/>
        <v>0</v>
      </c>
    </row>
    <row r="337" spans="1:8" ht="15.6">
      <c r="A337" s="959">
        <f t="shared" si="17"/>
        <v>300</v>
      </c>
      <c r="B337" s="1262" t="s">
        <v>2840</v>
      </c>
      <c r="C337" s="1255">
        <v>0.2</v>
      </c>
      <c r="D337" s="1258">
        <v>-622957.12</v>
      </c>
      <c r="E337" s="1258">
        <v>-32787.22</v>
      </c>
      <c r="F337" s="1258">
        <v>655744.34</v>
      </c>
      <c r="G337" s="1258">
        <v>0</v>
      </c>
      <c r="H337" s="1199">
        <f t="shared" si="16"/>
        <v>0</v>
      </c>
    </row>
    <row r="338" spans="1:8" ht="15.6">
      <c r="A338" s="959">
        <f t="shared" si="17"/>
        <v>301</v>
      </c>
      <c r="B338" s="1262" t="s">
        <v>2841</v>
      </c>
      <c r="C338" s="1255">
        <v>0.2</v>
      </c>
      <c r="D338" s="1258">
        <v>-439867.09</v>
      </c>
      <c r="E338" s="1258">
        <v>-39987.919999999998</v>
      </c>
      <c r="F338" s="1258">
        <v>479855.01</v>
      </c>
      <c r="G338" s="1258">
        <v>0</v>
      </c>
      <c r="H338" s="1199">
        <f t="shared" si="16"/>
        <v>0</v>
      </c>
    </row>
    <row r="339" spans="1:8" ht="15.6">
      <c r="A339" s="959">
        <f t="shared" si="17"/>
        <v>302</v>
      </c>
      <c r="B339" s="1262" t="s">
        <v>2842</v>
      </c>
      <c r="C339" s="1255">
        <v>0.2</v>
      </c>
      <c r="D339" s="1258">
        <v>-102260.73</v>
      </c>
      <c r="E339" s="1258">
        <v>-11362.29</v>
      </c>
      <c r="F339" s="1258">
        <v>113623.02</v>
      </c>
      <c r="G339" s="1258">
        <v>0</v>
      </c>
      <c r="H339" s="1199">
        <f t="shared" si="16"/>
        <v>1.4551915228366852E-11</v>
      </c>
    </row>
    <row r="340" spans="1:8" ht="15.6">
      <c r="A340" s="959">
        <f t="shared" si="17"/>
        <v>303</v>
      </c>
      <c r="B340" s="1262" t="s">
        <v>2843</v>
      </c>
      <c r="C340" s="1255">
        <v>0.2</v>
      </c>
      <c r="D340" s="1258">
        <v>-118564.41999999998</v>
      </c>
      <c r="E340" s="1258">
        <v>0</v>
      </c>
      <c r="F340" s="1258">
        <v>118564.42</v>
      </c>
      <c r="G340" s="1258">
        <v>0</v>
      </c>
      <c r="H340" s="1199">
        <f t="shared" si="16"/>
        <v>1.4551915228366852E-11</v>
      </c>
    </row>
    <row r="341" spans="1:8" ht="15.6">
      <c r="A341" s="959">
        <f t="shared" si="17"/>
        <v>304</v>
      </c>
      <c r="B341" s="1262" t="s">
        <v>2844</v>
      </c>
      <c r="C341" s="1255">
        <v>0.2</v>
      </c>
      <c r="D341" s="1258">
        <v>-125714.32</v>
      </c>
      <c r="E341" s="1258">
        <v>0</v>
      </c>
      <c r="F341" s="1258">
        <v>125714.32</v>
      </c>
      <c r="G341" s="1258">
        <v>0</v>
      </c>
      <c r="H341" s="1199">
        <f t="shared" si="16"/>
        <v>0</v>
      </c>
    </row>
    <row r="342" spans="1:8" ht="15.6">
      <c r="A342" s="959">
        <f t="shared" si="17"/>
        <v>305</v>
      </c>
      <c r="B342" s="1262" t="s">
        <v>2845</v>
      </c>
      <c r="C342" s="1255">
        <v>0.2</v>
      </c>
      <c r="D342" s="1258">
        <v>-56117.06</v>
      </c>
      <c r="E342" s="1258">
        <v>0</v>
      </c>
      <c r="F342" s="1258">
        <v>56117.06</v>
      </c>
      <c r="G342" s="1258">
        <v>0</v>
      </c>
      <c r="H342" s="1199">
        <f t="shared" si="16"/>
        <v>0</v>
      </c>
    </row>
    <row r="343" spans="1:8" ht="15.6">
      <c r="A343" s="959">
        <f t="shared" si="17"/>
        <v>306</v>
      </c>
      <c r="B343" s="1262" t="s">
        <v>2846</v>
      </c>
      <c r="C343" s="1255">
        <v>0.2</v>
      </c>
      <c r="D343" s="1258">
        <v>-90562.670000000013</v>
      </c>
      <c r="E343" s="1258">
        <v>0</v>
      </c>
      <c r="F343" s="1258">
        <v>90562.67</v>
      </c>
      <c r="G343" s="1258">
        <v>0</v>
      </c>
      <c r="H343" s="1199">
        <f t="shared" si="16"/>
        <v>-1.4551915228366852E-11</v>
      </c>
    </row>
    <row r="344" spans="1:8" ht="15.6">
      <c r="A344" s="959">
        <f t="shared" si="17"/>
        <v>307</v>
      </c>
      <c r="B344" s="1262" t="s">
        <v>2847</v>
      </c>
      <c r="C344" s="1255">
        <v>0.2</v>
      </c>
      <c r="D344" s="1258">
        <v>-67494.97</v>
      </c>
      <c r="E344" s="1258">
        <v>0</v>
      </c>
      <c r="F344" s="1258">
        <v>67494.97</v>
      </c>
      <c r="G344" s="1258">
        <v>0</v>
      </c>
      <c r="H344" s="1199">
        <f t="shared" si="16"/>
        <v>0</v>
      </c>
    </row>
    <row r="345" spans="1:8" ht="15.6">
      <c r="A345" s="959">
        <f t="shared" si="17"/>
        <v>308</v>
      </c>
      <c r="B345" s="1262" t="s">
        <v>2848</v>
      </c>
      <c r="C345" s="1255">
        <v>0.2</v>
      </c>
      <c r="D345" s="1258">
        <v>-33220.050000000003</v>
      </c>
      <c r="E345" s="1258">
        <v>0</v>
      </c>
      <c r="F345" s="1258">
        <v>33220.050000000003</v>
      </c>
      <c r="G345" s="1258">
        <v>0</v>
      </c>
      <c r="H345" s="1199">
        <f t="shared" si="16"/>
        <v>0</v>
      </c>
    </row>
    <row r="346" spans="1:8" ht="15.6">
      <c r="A346" s="959">
        <f t="shared" si="17"/>
        <v>309</v>
      </c>
      <c r="B346" s="1262" t="s">
        <v>2907</v>
      </c>
      <c r="C346" s="1255">
        <v>0.2</v>
      </c>
      <c r="D346" s="1258">
        <v>-178434.19</v>
      </c>
      <c r="E346" s="1258">
        <v>-46548.06</v>
      </c>
      <c r="F346" s="1258">
        <v>0</v>
      </c>
      <c r="G346" s="1258">
        <v>0</v>
      </c>
      <c r="H346" s="1199">
        <f t="shared" si="16"/>
        <v>-224982.25</v>
      </c>
    </row>
    <row r="347" spans="1:8" ht="15.6">
      <c r="A347" s="959">
        <f t="shared" si="17"/>
        <v>310</v>
      </c>
      <c r="B347" s="1262" t="s">
        <v>2908</v>
      </c>
      <c r="C347" s="1255">
        <v>0.2</v>
      </c>
      <c r="D347" s="1258">
        <v>-1315518.98</v>
      </c>
      <c r="E347" s="1258">
        <v>-343178.88</v>
      </c>
      <c r="F347" s="1258">
        <v>0</v>
      </c>
      <c r="G347" s="1258">
        <v>0</v>
      </c>
      <c r="H347" s="1199">
        <f t="shared" si="16"/>
        <v>-1658697.8599999999</v>
      </c>
    </row>
    <row r="348" spans="1:8" ht="15.6">
      <c r="A348" s="959">
        <f t="shared" si="17"/>
        <v>311</v>
      </c>
      <c r="B348" s="1262" t="s">
        <v>2909</v>
      </c>
      <c r="C348" s="1255">
        <v>0.2</v>
      </c>
      <c r="D348" s="1258">
        <v>-838319.08999999985</v>
      </c>
      <c r="E348" s="1258">
        <v>-214038.9</v>
      </c>
      <c r="F348" s="1258">
        <v>0</v>
      </c>
      <c r="G348" s="1258">
        <v>0</v>
      </c>
      <c r="H348" s="1199">
        <f t="shared" si="16"/>
        <v>-1052357.9899999998</v>
      </c>
    </row>
    <row r="349" spans="1:8" ht="15.6">
      <c r="A349" s="959">
        <f t="shared" si="17"/>
        <v>312</v>
      </c>
      <c r="B349" s="1262" t="s">
        <v>2910</v>
      </c>
      <c r="C349" s="1255">
        <v>0.2</v>
      </c>
      <c r="D349" s="1258">
        <v>-830306.66999999993</v>
      </c>
      <c r="E349" s="1258">
        <v>-216601.73</v>
      </c>
      <c r="F349" s="1258">
        <v>0</v>
      </c>
      <c r="G349" s="1258">
        <v>0</v>
      </c>
      <c r="H349" s="1199">
        <f t="shared" si="16"/>
        <v>-1046908.3999999999</v>
      </c>
    </row>
    <row r="350" spans="1:8" ht="15.6">
      <c r="A350" s="959">
        <f t="shared" si="17"/>
        <v>313</v>
      </c>
      <c r="B350" s="1262" t="s">
        <v>2911</v>
      </c>
      <c r="C350" s="1255">
        <v>0.2</v>
      </c>
      <c r="D350" s="1258">
        <v>-366496.00999999995</v>
      </c>
      <c r="E350" s="1258">
        <v>-100929.90000000001</v>
      </c>
      <c r="F350" s="1258">
        <v>0</v>
      </c>
      <c r="G350" s="1258">
        <v>0</v>
      </c>
      <c r="H350" s="1199">
        <f t="shared" si="16"/>
        <v>-467425.91</v>
      </c>
    </row>
    <row r="351" spans="1:8" ht="15.6">
      <c r="A351" s="959">
        <f t="shared" si="17"/>
        <v>314</v>
      </c>
      <c r="B351" s="1262" t="s">
        <v>2912</v>
      </c>
      <c r="C351" s="1255">
        <v>0.2</v>
      </c>
      <c r="D351" s="1258">
        <v>-219065.53</v>
      </c>
      <c r="E351" s="1258">
        <v>-74745.66</v>
      </c>
      <c r="F351" s="1258">
        <v>0</v>
      </c>
      <c r="G351" s="1258">
        <v>0</v>
      </c>
      <c r="H351" s="1199">
        <f t="shared" si="16"/>
        <v>-293811.19</v>
      </c>
    </row>
    <row r="352" spans="1:8" ht="15.6">
      <c r="A352" s="959">
        <f t="shared" si="17"/>
        <v>315</v>
      </c>
      <c r="B352" s="1262" t="s">
        <v>2913</v>
      </c>
      <c r="C352" s="1255">
        <v>0.2</v>
      </c>
      <c r="D352" s="1258">
        <v>-399782.47</v>
      </c>
      <c r="E352" s="1258">
        <v>-102072.11</v>
      </c>
      <c r="F352" s="1258">
        <v>0</v>
      </c>
      <c r="G352" s="1258">
        <v>0</v>
      </c>
      <c r="H352" s="1199">
        <f t="shared" si="16"/>
        <v>-501854.57999999996</v>
      </c>
    </row>
    <row r="353" spans="1:8" ht="15.6">
      <c r="A353" s="959">
        <f t="shared" si="17"/>
        <v>316</v>
      </c>
      <c r="B353" s="1262" t="s">
        <v>2914</v>
      </c>
      <c r="C353" s="1255">
        <v>0.2</v>
      </c>
      <c r="D353" s="1258">
        <v>-157018.14000000001</v>
      </c>
      <c r="E353" s="1258">
        <v>-40239.910000000003</v>
      </c>
      <c r="F353" s="1258">
        <v>0</v>
      </c>
      <c r="G353" s="1258">
        <v>0</v>
      </c>
      <c r="H353" s="1199">
        <f t="shared" si="16"/>
        <v>-197258.05000000002</v>
      </c>
    </row>
    <row r="354" spans="1:8" ht="20.399999999999999">
      <c r="A354" s="1713" t="s">
        <v>2979</v>
      </c>
      <c r="B354" s="1713"/>
      <c r="C354" s="1713"/>
      <c r="D354" s="1713"/>
      <c r="E354" s="1713"/>
      <c r="F354" s="1713"/>
      <c r="G354" s="1713"/>
      <c r="H354" s="1713"/>
    </row>
    <row r="355" spans="1:8" ht="19.2">
      <c r="A355" s="1725" t="str">
        <f>+A278</f>
        <v>For Contract Year Beginning June 1, 2024, Based on 2023 Data</v>
      </c>
      <c r="B355" s="1725"/>
      <c r="C355" s="1725"/>
      <c r="D355" s="1725"/>
      <c r="E355" s="1725"/>
      <c r="F355" s="1725"/>
      <c r="G355" s="1725"/>
      <c r="H355" s="1725"/>
    </row>
    <row r="356" spans="1:8">
      <c r="A356" s="864"/>
      <c r="B356" s="864"/>
      <c r="C356" s="864"/>
      <c r="D356" s="864"/>
      <c r="E356" s="864"/>
      <c r="F356" s="864"/>
      <c r="G356" s="864"/>
      <c r="H356" s="864"/>
    </row>
    <row r="357" spans="1:8">
      <c r="A357" s="864"/>
      <c r="B357" s="864"/>
      <c r="C357" s="928" t="s">
        <v>480</v>
      </c>
      <c r="D357" s="928" t="s">
        <v>481</v>
      </c>
      <c r="E357" s="928" t="s">
        <v>482</v>
      </c>
      <c r="F357" s="928" t="s">
        <v>483</v>
      </c>
      <c r="G357" s="928" t="s">
        <v>484</v>
      </c>
      <c r="H357" s="928" t="s">
        <v>884</v>
      </c>
    </row>
    <row r="358" spans="1:8" ht="15.6">
      <c r="A358" s="458"/>
      <c r="B358" s="458"/>
      <c r="C358" s="458"/>
      <c r="D358" s="931" t="s">
        <v>469</v>
      </c>
      <c r="E358" s="931"/>
      <c r="F358" s="931"/>
      <c r="G358" s="931"/>
      <c r="H358" s="931" t="s">
        <v>2250</v>
      </c>
    </row>
    <row r="359" spans="1:8" ht="15.6">
      <c r="A359" s="458"/>
      <c r="B359" s="458"/>
      <c r="C359" s="932" t="s">
        <v>2344</v>
      </c>
      <c r="D359" s="931" t="s">
        <v>655</v>
      </c>
      <c r="E359" s="931" t="s">
        <v>656</v>
      </c>
      <c r="F359" s="931" t="s">
        <v>656</v>
      </c>
      <c r="G359" s="931" t="s">
        <v>656</v>
      </c>
      <c r="H359" s="933" t="s">
        <v>2251</v>
      </c>
    </row>
    <row r="360" spans="1:8" ht="18.600000000000001">
      <c r="A360" s="687" t="s">
        <v>494</v>
      </c>
      <c r="B360" s="934" t="s">
        <v>880</v>
      </c>
      <c r="C360" s="935" t="s">
        <v>2483</v>
      </c>
      <c r="D360" s="936" t="s">
        <v>2251</v>
      </c>
      <c r="E360" s="935" t="s">
        <v>2484</v>
      </c>
      <c r="F360" s="934" t="s">
        <v>515</v>
      </c>
      <c r="G360" s="934" t="s">
        <v>516</v>
      </c>
      <c r="H360" s="937" t="s">
        <v>2349</v>
      </c>
    </row>
    <row r="361" spans="1:8" ht="15.6">
      <c r="A361" s="959">
        <f>A353+1</f>
        <v>317</v>
      </c>
      <c r="B361" s="1262" t="s">
        <v>2915</v>
      </c>
      <c r="C361" s="1255">
        <v>0.2</v>
      </c>
      <c r="D361" s="1258">
        <v>-80022.709999999992</v>
      </c>
      <c r="E361" s="1258">
        <v>-20516.79</v>
      </c>
      <c r="F361" s="1258">
        <v>0</v>
      </c>
      <c r="G361" s="1258">
        <v>0</v>
      </c>
      <c r="H361" s="1199">
        <f t="shared" ref="H361:H432" si="18">+D361+E361+F361+G361</f>
        <v>-100539.5</v>
      </c>
    </row>
    <row r="362" spans="1:8" ht="15.6">
      <c r="A362" s="959">
        <f t="shared" si="17"/>
        <v>318</v>
      </c>
      <c r="B362" s="1262" t="s">
        <v>2916</v>
      </c>
      <c r="C362" s="1255">
        <v>0.2</v>
      </c>
      <c r="D362" s="1258">
        <v>-125150.83000000002</v>
      </c>
      <c r="E362" s="1258">
        <v>-36972.54</v>
      </c>
      <c r="F362" s="1258">
        <v>0</v>
      </c>
      <c r="G362" s="1258">
        <v>0</v>
      </c>
      <c r="H362" s="1199">
        <f t="shared" si="18"/>
        <v>-162123.37000000002</v>
      </c>
    </row>
    <row r="363" spans="1:8" ht="15.6">
      <c r="A363" s="959">
        <f t="shared" si="17"/>
        <v>319</v>
      </c>
      <c r="B363" s="1262" t="s">
        <v>2917</v>
      </c>
      <c r="C363" s="1255">
        <v>0.2</v>
      </c>
      <c r="D363" s="1258">
        <v>-147447.17000000001</v>
      </c>
      <c r="E363" s="1258">
        <v>-40339.450000000004</v>
      </c>
      <c r="F363" s="1258">
        <v>0</v>
      </c>
      <c r="G363" s="1258">
        <v>0</v>
      </c>
      <c r="H363" s="1199">
        <f t="shared" si="18"/>
        <v>-187786.62000000002</v>
      </c>
    </row>
    <row r="364" spans="1:8" ht="15.6">
      <c r="A364" s="959">
        <f t="shared" si="17"/>
        <v>320</v>
      </c>
      <c r="B364" s="1262" t="s">
        <v>2918</v>
      </c>
      <c r="C364" s="1255">
        <v>0.2</v>
      </c>
      <c r="D364" s="1258">
        <v>-443226.29000000004</v>
      </c>
      <c r="E364" s="1258">
        <v>-143063.83000000002</v>
      </c>
      <c r="F364" s="1258">
        <v>0</v>
      </c>
      <c r="G364" s="1258">
        <v>0</v>
      </c>
      <c r="H364" s="1199">
        <f t="shared" si="18"/>
        <v>-586290.12000000011</v>
      </c>
    </row>
    <row r="365" spans="1:8" ht="15.6">
      <c r="A365" s="959">
        <f t="shared" si="17"/>
        <v>321</v>
      </c>
      <c r="B365" s="1262" t="s">
        <v>2919</v>
      </c>
      <c r="C365" s="1255">
        <v>0.2</v>
      </c>
      <c r="D365" s="1258">
        <v>-1951500.86</v>
      </c>
      <c r="E365" s="1258">
        <v>-493171.32</v>
      </c>
      <c r="F365" s="1258">
        <v>0</v>
      </c>
      <c r="G365" s="1258">
        <v>0</v>
      </c>
      <c r="H365" s="1199">
        <f t="shared" si="18"/>
        <v>-2444672.1800000002</v>
      </c>
    </row>
    <row r="366" spans="1:8" ht="15.6">
      <c r="A366" s="959">
        <f t="shared" si="17"/>
        <v>322</v>
      </c>
      <c r="B366" s="1262" t="s">
        <v>2920</v>
      </c>
      <c r="C366" s="1255">
        <v>0.2</v>
      </c>
      <c r="D366" s="1258">
        <v>-111227.69999999998</v>
      </c>
      <c r="E366" s="1258">
        <v>-29015.940000000002</v>
      </c>
      <c r="F366" s="1258">
        <v>0</v>
      </c>
      <c r="G366" s="1258">
        <v>0</v>
      </c>
      <c r="H366" s="1199">
        <f t="shared" si="18"/>
        <v>-140243.63999999998</v>
      </c>
    </row>
    <row r="367" spans="1:8" ht="15.6">
      <c r="A367" s="959">
        <f t="shared" si="17"/>
        <v>323</v>
      </c>
      <c r="B367" s="1262" t="s">
        <v>2921</v>
      </c>
      <c r="C367" s="1255">
        <v>0.2</v>
      </c>
      <c r="D367" s="1258">
        <v>-1269497.05</v>
      </c>
      <c r="E367" s="1258">
        <v>-331173.16000000003</v>
      </c>
      <c r="F367" s="1258">
        <v>0</v>
      </c>
      <c r="G367" s="1258">
        <v>0</v>
      </c>
      <c r="H367" s="1199">
        <f t="shared" si="18"/>
        <v>-1600670.21</v>
      </c>
    </row>
    <row r="368" spans="1:8" ht="15.6">
      <c r="A368" s="959">
        <f t="shared" si="17"/>
        <v>324</v>
      </c>
      <c r="B368" s="1262" t="s">
        <v>2922</v>
      </c>
      <c r="C368" s="1255">
        <v>0.2</v>
      </c>
      <c r="D368" s="1258">
        <v>-41796.979999999996</v>
      </c>
      <c r="E368" s="1258">
        <v>-10903.53</v>
      </c>
      <c r="F368" s="1258">
        <v>0</v>
      </c>
      <c r="G368" s="1258">
        <v>0</v>
      </c>
      <c r="H368" s="1199">
        <f t="shared" si="18"/>
        <v>-52700.509999999995</v>
      </c>
    </row>
    <row r="369" spans="1:8" ht="15.6">
      <c r="A369" s="959">
        <f>A368+1</f>
        <v>325</v>
      </c>
      <c r="B369" s="1262" t="s">
        <v>2923</v>
      </c>
      <c r="C369" s="1255">
        <v>0.2</v>
      </c>
      <c r="D369" s="1258">
        <v>-127369.19</v>
      </c>
      <c r="E369" s="1258">
        <v>-38210.700000000012</v>
      </c>
      <c r="F369" s="1258">
        <v>0</v>
      </c>
      <c r="G369" s="1258">
        <v>0</v>
      </c>
      <c r="H369" s="1199">
        <f t="shared" si="18"/>
        <v>-165579.89000000001</v>
      </c>
    </row>
    <row r="370" spans="1:8" ht="15.6">
      <c r="A370" s="959">
        <f>A369+1</f>
        <v>326</v>
      </c>
      <c r="B370" s="1262" t="s">
        <v>2924</v>
      </c>
      <c r="C370" s="1255">
        <v>0.2</v>
      </c>
      <c r="D370" s="1258">
        <v>-670703.84000000008</v>
      </c>
      <c r="E370" s="1258">
        <v>-171409.96</v>
      </c>
      <c r="F370" s="1258">
        <v>0</v>
      </c>
      <c r="G370" s="1258">
        <v>0</v>
      </c>
      <c r="H370" s="1199">
        <f t="shared" si="18"/>
        <v>-842113.8</v>
      </c>
    </row>
    <row r="371" spans="1:8" ht="15.6">
      <c r="A371" s="959">
        <f>A370+1</f>
        <v>327</v>
      </c>
      <c r="B371" s="1262" t="s">
        <v>2925</v>
      </c>
      <c r="C371" s="1255">
        <v>0.2</v>
      </c>
      <c r="D371" s="1258">
        <v>-107865.3</v>
      </c>
      <c r="E371" s="1258">
        <v>-34062</v>
      </c>
      <c r="F371" s="1258">
        <v>0</v>
      </c>
      <c r="G371" s="1258">
        <v>0</v>
      </c>
      <c r="H371" s="1199">
        <f t="shared" si="18"/>
        <v>-141927.29999999999</v>
      </c>
    </row>
    <row r="372" spans="1:8" ht="15.6">
      <c r="A372" s="959">
        <f>A371+1</f>
        <v>328</v>
      </c>
      <c r="B372" s="1262" t="s">
        <v>2926</v>
      </c>
      <c r="C372" s="1255">
        <v>0.2</v>
      </c>
      <c r="D372" s="1258">
        <v>-298176.31</v>
      </c>
      <c r="E372" s="1258">
        <v>-74544.06</v>
      </c>
      <c r="F372" s="1258">
        <v>0</v>
      </c>
      <c r="G372" s="1258">
        <v>0</v>
      </c>
      <c r="H372" s="1199">
        <f t="shared" si="18"/>
        <v>-372720.37</v>
      </c>
    </row>
    <row r="373" spans="1:8" ht="15.6">
      <c r="A373" s="959">
        <f>A372+1</f>
        <v>329</v>
      </c>
      <c r="B373" s="1262" t="s">
        <v>2927</v>
      </c>
      <c r="C373" s="1255">
        <v>0.2</v>
      </c>
      <c r="D373" s="1258">
        <v>-198740.56000000003</v>
      </c>
      <c r="E373" s="1258">
        <v>-49685.1</v>
      </c>
      <c r="F373" s="1258">
        <v>0</v>
      </c>
      <c r="G373" s="1258">
        <v>0</v>
      </c>
      <c r="H373" s="1199">
        <f t="shared" si="18"/>
        <v>-248425.66000000003</v>
      </c>
    </row>
    <row r="374" spans="1:8" ht="15.6">
      <c r="A374" s="959">
        <f t="shared" ref="A374:A421" si="19">A373+1</f>
        <v>330</v>
      </c>
      <c r="B374" s="1262" t="s">
        <v>3104</v>
      </c>
      <c r="C374" s="1255">
        <v>0.2</v>
      </c>
      <c r="D374" s="1258">
        <v>-42189.840000000004</v>
      </c>
      <c r="E374" s="1258">
        <v>-15341.76</v>
      </c>
      <c r="F374" s="1258">
        <v>0</v>
      </c>
      <c r="G374" s="1258">
        <v>0</v>
      </c>
      <c r="H374" s="1199">
        <f t="shared" si="18"/>
        <v>-57531.600000000006</v>
      </c>
    </row>
    <row r="375" spans="1:8" ht="15.6">
      <c r="A375" s="959">
        <f t="shared" si="19"/>
        <v>331</v>
      </c>
      <c r="B375" s="1262" t="s">
        <v>3105</v>
      </c>
      <c r="C375" s="1255">
        <v>0.2</v>
      </c>
      <c r="D375" s="1258">
        <v>-168896.51</v>
      </c>
      <c r="E375" s="1258">
        <v>-67602.829999999987</v>
      </c>
      <c r="F375" s="1258">
        <v>0</v>
      </c>
      <c r="G375" s="1258">
        <v>0</v>
      </c>
      <c r="H375" s="1199">
        <f t="shared" si="18"/>
        <v>-236499.34</v>
      </c>
    </row>
    <row r="376" spans="1:8" ht="15.6">
      <c r="A376" s="959">
        <f t="shared" si="19"/>
        <v>332</v>
      </c>
      <c r="B376" s="1262" t="s">
        <v>3106</v>
      </c>
      <c r="C376" s="1255">
        <v>0.2</v>
      </c>
      <c r="D376" s="1258">
        <v>-153010.16</v>
      </c>
      <c r="E376" s="1258">
        <v>-52460.569999999978</v>
      </c>
      <c r="F376" s="1258">
        <v>0</v>
      </c>
      <c r="G376" s="1258">
        <v>0</v>
      </c>
      <c r="H376" s="1199">
        <f t="shared" si="18"/>
        <v>-205470.72999999998</v>
      </c>
    </row>
    <row r="377" spans="1:8" ht="15.6">
      <c r="A377" s="959">
        <f t="shared" si="19"/>
        <v>333</v>
      </c>
      <c r="B377" s="1262" t="s">
        <v>3107</v>
      </c>
      <c r="C377" s="1255">
        <v>0.2</v>
      </c>
      <c r="D377" s="1258">
        <v>-117802.31</v>
      </c>
      <c r="E377" s="1258">
        <v>-40341.380000000005</v>
      </c>
      <c r="F377" s="1258">
        <v>0</v>
      </c>
      <c r="G377" s="1258">
        <v>0</v>
      </c>
      <c r="H377" s="1199">
        <f t="shared" si="18"/>
        <v>-158143.69</v>
      </c>
    </row>
    <row r="378" spans="1:8" ht="15.6">
      <c r="A378" s="959">
        <f t="shared" si="19"/>
        <v>334</v>
      </c>
      <c r="B378" s="1262" t="s">
        <v>3108</v>
      </c>
      <c r="C378" s="1255">
        <v>0.2</v>
      </c>
      <c r="D378" s="1258">
        <v>-79040.11</v>
      </c>
      <c r="E378" s="1258">
        <v>-27896.45</v>
      </c>
      <c r="F378" s="1258">
        <v>0</v>
      </c>
      <c r="G378" s="1258">
        <v>0</v>
      </c>
      <c r="H378" s="1199">
        <f t="shared" si="18"/>
        <v>-106936.56</v>
      </c>
    </row>
    <row r="379" spans="1:8" ht="15.6">
      <c r="A379" s="959">
        <f t="shared" si="19"/>
        <v>335</v>
      </c>
      <c r="B379" s="1262" t="s">
        <v>3109</v>
      </c>
      <c r="C379" s="1255">
        <v>0.2</v>
      </c>
      <c r="D379" s="1258">
        <v>-249254.25000000003</v>
      </c>
      <c r="E379" s="1258">
        <v>-87837.57</v>
      </c>
      <c r="F379" s="1258">
        <v>0</v>
      </c>
      <c r="G379" s="1258">
        <v>0</v>
      </c>
      <c r="H379" s="1199">
        <f t="shared" si="18"/>
        <v>-337091.82000000007</v>
      </c>
    </row>
    <row r="380" spans="1:8" ht="15.6">
      <c r="A380" s="959">
        <f t="shared" si="19"/>
        <v>336</v>
      </c>
      <c r="B380" s="1262" t="s">
        <v>3110</v>
      </c>
      <c r="C380" s="1255">
        <v>0.2</v>
      </c>
      <c r="D380" s="1258">
        <v>-4532.82</v>
      </c>
      <c r="E380" s="1258">
        <v>-1939.39</v>
      </c>
      <c r="F380" s="1258">
        <v>0</v>
      </c>
      <c r="G380" s="1258">
        <v>0</v>
      </c>
      <c r="H380" s="1199">
        <f t="shared" si="18"/>
        <v>-6472.21</v>
      </c>
    </row>
    <row r="381" spans="1:8" ht="15.6">
      <c r="A381" s="959">
        <f t="shared" si="19"/>
        <v>337</v>
      </c>
      <c r="B381" s="1262" t="s">
        <v>3111</v>
      </c>
      <c r="C381" s="1255">
        <v>0.2</v>
      </c>
      <c r="D381" s="1258">
        <v>-6.5500000000000007</v>
      </c>
      <c r="E381" s="1258">
        <v>2.5200000000000005</v>
      </c>
      <c r="F381" s="1258">
        <v>0</v>
      </c>
      <c r="G381" s="1258">
        <v>0</v>
      </c>
      <c r="H381" s="1199">
        <f t="shared" si="18"/>
        <v>-4.03</v>
      </c>
    </row>
    <row r="382" spans="1:8" ht="15.6">
      <c r="A382" s="959">
        <f t="shared" si="19"/>
        <v>338</v>
      </c>
      <c r="B382" s="1262" t="s">
        <v>3112</v>
      </c>
      <c r="C382" s="1255">
        <v>0.2</v>
      </c>
      <c r="D382" s="1258">
        <v>-430527.76</v>
      </c>
      <c r="E382" s="1258">
        <v>-198705.12</v>
      </c>
      <c r="F382" s="1258">
        <v>0</v>
      </c>
      <c r="G382" s="1258">
        <v>0</v>
      </c>
      <c r="H382" s="1199">
        <f t="shared" si="18"/>
        <v>-629232.88</v>
      </c>
    </row>
    <row r="383" spans="1:8" ht="15.6">
      <c r="A383" s="959">
        <f t="shared" si="19"/>
        <v>339</v>
      </c>
      <c r="B383" s="1262" t="s">
        <v>3113</v>
      </c>
      <c r="C383" s="1255">
        <v>0.2</v>
      </c>
      <c r="D383" s="1258">
        <v>0</v>
      </c>
      <c r="E383" s="1258">
        <v>0</v>
      </c>
      <c r="F383" s="1258">
        <v>0</v>
      </c>
      <c r="G383" s="1258">
        <v>0</v>
      </c>
      <c r="H383" s="1199">
        <f t="shared" si="18"/>
        <v>0</v>
      </c>
    </row>
    <row r="384" spans="1:8" ht="15.6">
      <c r="A384" s="959">
        <f t="shared" si="19"/>
        <v>340</v>
      </c>
      <c r="B384" s="1262" t="s">
        <v>3114</v>
      </c>
      <c r="C384" s="1255">
        <v>0.2</v>
      </c>
      <c r="D384" s="1258">
        <v>-481.6</v>
      </c>
      <c r="E384" s="1258">
        <v>-165.09000000000003</v>
      </c>
      <c r="F384" s="1258">
        <v>0</v>
      </c>
      <c r="G384" s="1258">
        <v>0</v>
      </c>
      <c r="H384" s="1199">
        <f t="shared" si="18"/>
        <v>-646.69000000000005</v>
      </c>
    </row>
    <row r="385" spans="1:8" ht="15.6">
      <c r="A385" s="959">
        <f t="shared" si="19"/>
        <v>341</v>
      </c>
      <c r="B385" s="1262" t="s">
        <v>3115</v>
      </c>
      <c r="C385" s="1255">
        <v>0.2</v>
      </c>
      <c r="D385" s="1258">
        <v>-1302.08</v>
      </c>
      <c r="E385" s="1258">
        <v>-488.2800000000002</v>
      </c>
      <c r="F385" s="1258">
        <v>0</v>
      </c>
      <c r="G385" s="1258">
        <v>0</v>
      </c>
      <c r="H385" s="1199">
        <f t="shared" si="18"/>
        <v>-1790.3600000000001</v>
      </c>
    </row>
    <row r="386" spans="1:8" ht="15.6">
      <c r="A386" s="959">
        <f t="shared" si="19"/>
        <v>342</v>
      </c>
      <c r="B386" s="1262" t="s">
        <v>2805</v>
      </c>
      <c r="C386" s="1255">
        <v>0.2</v>
      </c>
      <c r="D386" s="1258">
        <v>-166600.70000000001</v>
      </c>
      <c r="E386" s="1258">
        <v>-63875.010000000009</v>
      </c>
      <c r="F386" s="1258">
        <v>0</v>
      </c>
      <c r="G386" s="1258">
        <v>0</v>
      </c>
      <c r="H386" s="1199">
        <f t="shared" si="18"/>
        <v>-230475.71000000002</v>
      </c>
    </row>
    <row r="387" spans="1:8" ht="15.6">
      <c r="A387" s="959">
        <f t="shared" si="19"/>
        <v>343</v>
      </c>
      <c r="B387" s="1262" t="s">
        <v>3116</v>
      </c>
      <c r="C387" s="1255">
        <v>0.2</v>
      </c>
      <c r="D387" s="1258">
        <v>-52795.53</v>
      </c>
      <c r="E387" s="1258">
        <v>-18633.650000000009</v>
      </c>
      <c r="F387" s="1258">
        <v>0</v>
      </c>
      <c r="G387" s="1258">
        <v>0</v>
      </c>
      <c r="H387" s="1199">
        <f t="shared" si="18"/>
        <v>-71429.180000000008</v>
      </c>
    </row>
    <row r="388" spans="1:8" ht="15.6">
      <c r="A388" s="959">
        <f t="shared" si="19"/>
        <v>344</v>
      </c>
      <c r="B388" s="1262" t="s">
        <v>3117</v>
      </c>
      <c r="C388" s="1255">
        <v>0.2</v>
      </c>
      <c r="D388" s="1258">
        <v>-154294.08000000002</v>
      </c>
      <c r="E388" s="1258">
        <v>-54456.76999999999</v>
      </c>
      <c r="F388" s="1258">
        <v>0</v>
      </c>
      <c r="G388" s="1258">
        <v>0</v>
      </c>
      <c r="H388" s="1199">
        <f t="shared" si="18"/>
        <v>-208750.85</v>
      </c>
    </row>
    <row r="389" spans="1:8" ht="15.6">
      <c r="A389" s="959">
        <f t="shared" si="19"/>
        <v>345</v>
      </c>
      <c r="B389" s="1262" t="s">
        <v>3118</v>
      </c>
      <c r="C389" s="1255">
        <v>0.2</v>
      </c>
      <c r="D389" s="1258">
        <v>-253654.53</v>
      </c>
      <c r="E389" s="1258">
        <v>-89525.120000000024</v>
      </c>
      <c r="F389" s="1258">
        <v>0</v>
      </c>
      <c r="G389" s="1258">
        <v>0</v>
      </c>
      <c r="H389" s="1199">
        <f t="shared" si="18"/>
        <v>-343179.65</v>
      </c>
    </row>
    <row r="390" spans="1:8" ht="15.6">
      <c r="A390" s="959">
        <f t="shared" si="19"/>
        <v>346</v>
      </c>
      <c r="B390" s="1262" t="s">
        <v>3119</v>
      </c>
      <c r="C390" s="1255">
        <v>0.2</v>
      </c>
      <c r="D390" s="1258">
        <v>-64425.58</v>
      </c>
      <c r="E390" s="1258">
        <v>-22738.489999999998</v>
      </c>
      <c r="F390" s="1258">
        <v>0</v>
      </c>
      <c r="G390" s="1258">
        <v>0</v>
      </c>
      <c r="H390" s="1199">
        <f t="shared" si="18"/>
        <v>-87164.07</v>
      </c>
    </row>
    <row r="391" spans="1:8" ht="15.6">
      <c r="A391" s="959">
        <f t="shared" si="19"/>
        <v>347</v>
      </c>
      <c r="B391" s="1262" t="s">
        <v>3195</v>
      </c>
      <c r="C391" s="1255">
        <v>0.2</v>
      </c>
      <c r="D391" s="1258">
        <v>-152017.65999999997</v>
      </c>
      <c r="E391" s="1258">
        <v>-81122.070000000036</v>
      </c>
      <c r="F391" s="1258">
        <v>0</v>
      </c>
      <c r="G391" s="1258">
        <v>0</v>
      </c>
      <c r="H391" s="1199">
        <f t="shared" si="18"/>
        <v>-233139.73</v>
      </c>
    </row>
    <row r="392" spans="1:8" ht="15.6">
      <c r="A392" s="959">
        <f t="shared" si="19"/>
        <v>348</v>
      </c>
      <c r="B392" s="1262" t="s">
        <v>3196</v>
      </c>
      <c r="C392" s="1255">
        <v>0.2</v>
      </c>
      <c r="D392" s="1258">
        <v>-46183.100000000006</v>
      </c>
      <c r="E392" s="1258">
        <v>-24082.579999999994</v>
      </c>
      <c r="F392" s="1258">
        <v>0</v>
      </c>
      <c r="G392" s="1258">
        <v>0</v>
      </c>
      <c r="H392" s="1199">
        <f t="shared" si="18"/>
        <v>-70265.679999999993</v>
      </c>
    </row>
    <row r="393" spans="1:8" ht="15.6">
      <c r="A393" s="959">
        <f t="shared" si="19"/>
        <v>349</v>
      </c>
      <c r="B393" s="1262" t="s">
        <v>3197</v>
      </c>
      <c r="C393" s="1255">
        <v>0.2</v>
      </c>
      <c r="D393" s="1258">
        <v>-422917.08000000007</v>
      </c>
      <c r="E393" s="1258">
        <v>-222183.3899999999</v>
      </c>
      <c r="F393" s="1258">
        <v>0</v>
      </c>
      <c r="G393" s="1258">
        <v>0</v>
      </c>
      <c r="H393" s="1199">
        <f t="shared" si="18"/>
        <v>-645100.47</v>
      </c>
    </row>
    <row r="394" spans="1:8" ht="15.6">
      <c r="A394" s="959">
        <f t="shared" si="19"/>
        <v>350</v>
      </c>
      <c r="B394" s="1262" t="s">
        <v>3198</v>
      </c>
      <c r="C394" s="1255">
        <v>0.2</v>
      </c>
      <c r="D394" s="1258">
        <v>-927789.87</v>
      </c>
      <c r="E394" s="1258">
        <v>-494070.31999999983</v>
      </c>
      <c r="F394" s="1258">
        <v>0</v>
      </c>
      <c r="G394" s="1258">
        <v>0</v>
      </c>
      <c r="H394" s="1199">
        <f t="shared" si="18"/>
        <v>-1421860.19</v>
      </c>
    </row>
    <row r="395" spans="1:8" ht="15.6">
      <c r="A395" s="959">
        <f t="shared" si="19"/>
        <v>351</v>
      </c>
      <c r="B395" s="1262" t="s">
        <v>3199</v>
      </c>
      <c r="C395" s="1255">
        <v>0.2</v>
      </c>
      <c r="D395" s="1258">
        <v>-1282781.02</v>
      </c>
      <c r="E395" s="1258">
        <v>-640734.51</v>
      </c>
      <c r="F395" s="1258">
        <v>0</v>
      </c>
      <c r="G395" s="1258">
        <v>0</v>
      </c>
      <c r="H395" s="1199">
        <f t="shared" si="18"/>
        <v>-1923515.53</v>
      </c>
    </row>
    <row r="396" spans="1:8" ht="15.6">
      <c r="A396" s="959">
        <f t="shared" si="19"/>
        <v>352</v>
      </c>
      <c r="B396" s="1262" t="s">
        <v>3200</v>
      </c>
      <c r="C396" s="1255">
        <v>0.2</v>
      </c>
      <c r="D396" s="1258">
        <v>-36290.1</v>
      </c>
      <c r="E396" s="1258">
        <v>-20737.199999999997</v>
      </c>
      <c r="F396" s="1258">
        <v>0</v>
      </c>
      <c r="G396" s="1258">
        <v>0</v>
      </c>
      <c r="H396" s="1199">
        <f t="shared" si="18"/>
        <v>-57027.299999999996</v>
      </c>
    </row>
    <row r="397" spans="1:8" ht="15.6">
      <c r="A397" s="959">
        <f t="shared" si="19"/>
        <v>353</v>
      </c>
      <c r="B397" s="1262" t="s">
        <v>3201</v>
      </c>
      <c r="C397" s="1255">
        <v>0.2</v>
      </c>
      <c r="D397" s="1258">
        <v>-2758.08</v>
      </c>
      <c r="E397" s="1258">
        <v>-1379.1</v>
      </c>
      <c r="F397" s="1258">
        <v>0</v>
      </c>
      <c r="G397" s="1258">
        <v>0</v>
      </c>
      <c r="H397" s="1199">
        <f t="shared" si="18"/>
        <v>-4137.18</v>
      </c>
    </row>
    <row r="398" spans="1:8" ht="15.6">
      <c r="A398" s="959">
        <f t="shared" si="19"/>
        <v>354</v>
      </c>
      <c r="B398" s="1262" t="s">
        <v>3202</v>
      </c>
      <c r="C398" s="1255">
        <v>0.2</v>
      </c>
      <c r="D398" s="1258">
        <v>-606113.55000000005</v>
      </c>
      <c r="E398" s="1258">
        <v>-330607.42999999993</v>
      </c>
      <c r="F398" s="1258">
        <v>0</v>
      </c>
      <c r="G398" s="1258">
        <v>0</v>
      </c>
      <c r="H398" s="1199">
        <f t="shared" si="18"/>
        <v>-936720.98</v>
      </c>
    </row>
    <row r="399" spans="1:8" ht="15.6">
      <c r="A399" s="959">
        <f t="shared" si="19"/>
        <v>355</v>
      </c>
      <c r="B399" s="1262" t="s">
        <v>3203</v>
      </c>
      <c r="C399" s="1255">
        <v>0.2</v>
      </c>
      <c r="D399" s="1258">
        <v>-90897.03</v>
      </c>
      <c r="E399" s="1258">
        <v>-49578.709999999992</v>
      </c>
      <c r="F399" s="1258">
        <v>0</v>
      </c>
      <c r="G399" s="1258">
        <v>0</v>
      </c>
      <c r="H399" s="1199">
        <f t="shared" si="18"/>
        <v>-140475.74</v>
      </c>
    </row>
    <row r="400" spans="1:8" ht="15.6">
      <c r="A400" s="959">
        <f t="shared" si="19"/>
        <v>356</v>
      </c>
      <c r="B400" s="1262" t="s">
        <v>3204</v>
      </c>
      <c r="C400" s="1255">
        <v>0.2</v>
      </c>
      <c r="D400" s="1258">
        <v>-1562824.6600000001</v>
      </c>
      <c r="E400" s="1258">
        <v>-961472.04000000027</v>
      </c>
      <c r="F400" s="1258">
        <v>0</v>
      </c>
      <c r="G400" s="1258">
        <v>0</v>
      </c>
      <c r="H400" s="1199">
        <f t="shared" si="18"/>
        <v>-2524296.7000000002</v>
      </c>
    </row>
    <row r="401" spans="1:8" ht="15.6">
      <c r="A401" s="959">
        <f t="shared" si="19"/>
        <v>357</v>
      </c>
      <c r="B401" s="1262" t="s">
        <v>3205</v>
      </c>
      <c r="C401" s="1255">
        <v>0.2</v>
      </c>
      <c r="D401" s="1258">
        <v>-142950.25</v>
      </c>
      <c r="E401" s="1258">
        <v>-94856.770000000019</v>
      </c>
      <c r="F401" s="1258">
        <v>0</v>
      </c>
      <c r="G401" s="1258">
        <v>0</v>
      </c>
      <c r="H401" s="1199">
        <f t="shared" si="18"/>
        <v>-237807.02000000002</v>
      </c>
    </row>
    <row r="402" spans="1:8" ht="15.6">
      <c r="A402" s="959">
        <f t="shared" si="19"/>
        <v>358</v>
      </c>
      <c r="B402" s="1262" t="s">
        <v>3206</v>
      </c>
      <c r="C402" s="1255">
        <v>0.2</v>
      </c>
      <c r="D402" s="1258">
        <v>-3111.3500000000004</v>
      </c>
      <c r="E402" s="1258">
        <v>732.12</v>
      </c>
      <c r="F402" s="1258">
        <v>0</v>
      </c>
      <c r="G402" s="1258">
        <v>0</v>
      </c>
      <c r="H402" s="1199">
        <f t="shared" si="18"/>
        <v>-2379.2300000000005</v>
      </c>
    </row>
    <row r="403" spans="1:8" ht="15.6">
      <c r="A403" s="959">
        <f t="shared" si="19"/>
        <v>359</v>
      </c>
      <c r="B403" s="1262" t="s">
        <v>3207</v>
      </c>
      <c r="C403" s="1255">
        <v>0.2</v>
      </c>
      <c r="D403" s="1258">
        <v>-174371.05</v>
      </c>
      <c r="E403" s="1258">
        <v>-90976.200000000012</v>
      </c>
      <c r="F403" s="1258">
        <v>0</v>
      </c>
      <c r="G403" s="1258">
        <v>0</v>
      </c>
      <c r="H403" s="1199">
        <f t="shared" si="18"/>
        <v>-265347.25</v>
      </c>
    </row>
    <row r="404" spans="1:8" ht="15.6">
      <c r="A404" s="959">
        <f t="shared" si="19"/>
        <v>360</v>
      </c>
      <c r="B404" s="1262" t="s">
        <v>3208</v>
      </c>
      <c r="C404" s="1255">
        <v>0.2</v>
      </c>
      <c r="D404" s="1258">
        <v>-483742.06000000006</v>
      </c>
      <c r="E404" s="1258">
        <v>-363619.49000000005</v>
      </c>
      <c r="F404" s="1258">
        <v>0</v>
      </c>
      <c r="G404" s="1258">
        <v>0</v>
      </c>
      <c r="H404" s="1199">
        <f t="shared" si="18"/>
        <v>-847361.55</v>
      </c>
    </row>
    <row r="405" spans="1:8" ht="15.6">
      <c r="A405" s="959">
        <f t="shared" si="19"/>
        <v>361</v>
      </c>
      <c r="B405" s="1262" t="s">
        <v>3209</v>
      </c>
      <c r="C405" s="1255">
        <v>0.2</v>
      </c>
      <c r="D405" s="1258">
        <v>0</v>
      </c>
      <c r="E405" s="1258">
        <v>0</v>
      </c>
      <c r="F405" s="1258">
        <v>0</v>
      </c>
      <c r="G405" s="1258">
        <v>0</v>
      </c>
      <c r="H405" s="1199">
        <f t="shared" si="18"/>
        <v>0</v>
      </c>
    </row>
    <row r="406" spans="1:8" ht="15.6">
      <c r="A406" s="959">
        <f t="shared" si="19"/>
        <v>362</v>
      </c>
      <c r="B406" s="1262" t="s">
        <v>3210</v>
      </c>
      <c r="C406" s="1255">
        <v>0.2</v>
      </c>
      <c r="D406" s="1258">
        <v>-35836.01</v>
      </c>
      <c r="E406" s="1258">
        <v>-29141.519999999997</v>
      </c>
      <c r="F406" s="1258">
        <v>0</v>
      </c>
      <c r="G406" s="1258">
        <v>0</v>
      </c>
      <c r="H406" s="1199">
        <f t="shared" si="18"/>
        <v>-64977.53</v>
      </c>
    </row>
    <row r="407" spans="1:8" ht="15.6">
      <c r="A407" s="959">
        <f t="shared" si="19"/>
        <v>363</v>
      </c>
      <c r="B407" s="1262" t="s">
        <v>3211</v>
      </c>
      <c r="C407" s="1255">
        <v>0.2</v>
      </c>
      <c r="D407" s="1258">
        <v>-336834.65</v>
      </c>
      <c r="E407" s="1258">
        <v>-252625.99</v>
      </c>
      <c r="F407" s="1258">
        <v>0</v>
      </c>
      <c r="G407" s="1258">
        <v>0</v>
      </c>
      <c r="H407" s="1199">
        <f t="shared" si="18"/>
        <v>-589460.64</v>
      </c>
    </row>
    <row r="408" spans="1:8" ht="15.6">
      <c r="A408" s="959">
        <f t="shared" si="19"/>
        <v>364</v>
      </c>
      <c r="B408" s="1262" t="s">
        <v>3212</v>
      </c>
      <c r="C408" s="1255">
        <v>0.2</v>
      </c>
      <c r="D408" s="1258">
        <v>-71849.279999999999</v>
      </c>
      <c r="E408" s="1258">
        <v>-35924.639999999999</v>
      </c>
      <c r="F408" s="1258">
        <v>0</v>
      </c>
      <c r="G408" s="1258">
        <v>0</v>
      </c>
      <c r="H408" s="1199">
        <f t="shared" si="18"/>
        <v>-107773.92</v>
      </c>
    </row>
    <row r="409" spans="1:8" ht="15.6">
      <c r="A409" s="959">
        <f t="shared" si="19"/>
        <v>365</v>
      </c>
      <c r="B409" s="1262" t="s">
        <v>3213</v>
      </c>
      <c r="C409" s="1255">
        <v>0.2</v>
      </c>
      <c r="D409" s="1258">
        <v>-272848.68</v>
      </c>
      <c r="E409" s="1258">
        <v>-197800.07000000007</v>
      </c>
      <c r="F409" s="1258">
        <v>0</v>
      </c>
      <c r="G409" s="1258">
        <v>0</v>
      </c>
      <c r="H409" s="1199">
        <f t="shared" si="18"/>
        <v>-470648.75000000006</v>
      </c>
    </row>
    <row r="410" spans="1:8" ht="15.6">
      <c r="A410" s="959">
        <f t="shared" si="19"/>
        <v>366</v>
      </c>
      <c r="B410" s="1262" t="s">
        <v>3410</v>
      </c>
      <c r="C410" s="1255">
        <v>0.2</v>
      </c>
      <c r="D410" s="1258">
        <v>-3518069.05</v>
      </c>
      <c r="E410" s="1258">
        <v>-3258474.67</v>
      </c>
      <c r="F410" s="1258">
        <v>0</v>
      </c>
      <c r="G410" s="1258">
        <v>0</v>
      </c>
      <c r="H410" s="1199">
        <f t="shared" si="18"/>
        <v>-6776543.7199999997</v>
      </c>
    </row>
    <row r="411" spans="1:8" ht="15.6">
      <c r="A411" s="959">
        <f t="shared" si="19"/>
        <v>367</v>
      </c>
      <c r="B411" s="1262" t="s">
        <v>3411</v>
      </c>
      <c r="C411" s="1255">
        <v>0.2</v>
      </c>
      <c r="D411" s="1258">
        <v>-2931</v>
      </c>
      <c r="E411" s="1258">
        <v>-16262.739999999998</v>
      </c>
      <c r="F411" s="1258">
        <v>0</v>
      </c>
      <c r="G411" s="1258">
        <v>0</v>
      </c>
      <c r="H411" s="1199">
        <f t="shared" si="18"/>
        <v>-19193.739999999998</v>
      </c>
    </row>
    <row r="412" spans="1:8" ht="15.6">
      <c r="A412" s="959">
        <f t="shared" si="19"/>
        <v>368</v>
      </c>
      <c r="B412" s="1262" t="s">
        <v>3412</v>
      </c>
      <c r="C412" s="1255">
        <v>0.2</v>
      </c>
      <c r="D412" s="1258">
        <v>-155931.48000000001</v>
      </c>
      <c r="E412" s="1258">
        <v>-196459.88999999998</v>
      </c>
      <c r="F412" s="1258">
        <v>0</v>
      </c>
      <c r="G412" s="1258">
        <v>0</v>
      </c>
      <c r="H412" s="1199">
        <f t="shared" si="18"/>
        <v>-352391.37</v>
      </c>
    </row>
    <row r="413" spans="1:8" ht="15.6">
      <c r="A413" s="959">
        <f t="shared" si="19"/>
        <v>369</v>
      </c>
      <c r="B413" s="1262" t="s">
        <v>3413</v>
      </c>
      <c r="C413" s="1255">
        <v>0.2</v>
      </c>
      <c r="D413" s="1258">
        <v>-241255.48</v>
      </c>
      <c r="E413" s="1258">
        <v>-263187.83</v>
      </c>
      <c r="F413" s="1258">
        <v>0</v>
      </c>
      <c r="G413" s="1258">
        <v>0</v>
      </c>
      <c r="H413" s="1199">
        <f t="shared" si="18"/>
        <v>-504443.31000000006</v>
      </c>
    </row>
    <row r="414" spans="1:8" ht="15.6">
      <c r="A414" s="959">
        <f t="shared" si="19"/>
        <v>370</v>
      </c>
      <c r="B414" s="1262" t="s">
        <v>3414</v>
      </c>
      <c r="C414" s="1255">
        <v>0.2</v>
      </c>
      <c r="D414" s="1258">
        <v>-45970.38</v>
      </c>
      <c r="E414" s="1258">
        <v>-93903.33</v>
      </c>
      <c r="F414" s="1258">
        <v>0</v>
      </c>
      <c r="G414" s="1258">
        <v>0</v>
      </c>
      <c r="H414" s="1199">
        <f t="shared" si="18"/>
        <v>-139873.71</v>
      </c>
    </row>
    <row r="415" spans="1:8" ht="15.6">
      <c r="A415" s="959">
        <f t="shared" si="19"/>
        <v>371</v>
      </c>
      <c r="B415" s="1262" t="s">
        <v>3209</v>
      </c>
      <c r="C415" s="1255">
        <v>0.2</v>
      </c>
      <c r="D415" s="1258">
        <v>-46294.92</v>
      </c>
      <c r="E415" s="1258">
        <v>-37879.62000000001</v>
      </c>
      <c r="F415" s="1258">
        <v>0</v>
      </c>
      <c r="G415" s="1258">
        <v>0</v>
      </c>
      <c r="H415" s="1199">
        <f t="shared" si="18"/>
        <v>-84174.540000000008</v>
      </c>
    </row>
    <row r="416" spans="1:8" ht="15.6">
      <c r="A416" s="959">
        <f t="shared" si="19"/>
        <v>372</v>
      </c>
      <c r="B416" s="1262" t="s">
        <v>3415</v>
      </c>
      <c r="C416" s="1255">
        <v>0.2</v>
      </c>
      <c r="D416" s="1258">
        <v>-359441.04</v>
      </c>
      <c r="E416" s="1258">
        <v>-413121.69</v>
      </c>
      <c r="F416" s="1258">
        <v>0</v>
      </c>
      <c r="G416" s="1258">
        <v>0</v>
      </c>
      <c r="H416" s="1199">
        <f t="shared" si="18"/>
        <v>-772562.73</v>
      </c>
    </row>
    <row r="417" spans="1:8" ht="15.6">
      <c r="A417" s="959">
        <f t="shared" si="19"/>
        <v>373</v>
      </c>
      <c r="B417" s="1262" t="s">
        <v>3416</v>
      </c>
      <c r="C417" s="1255">
        <v>0.2</v>
      </c>
      <c r="D417" s="1258">
        <v>-102239.8</v>
      </c>
      <c r="E417" s="1258">
        <v>-192279.28</v>
      </c>
      <c r="F417" s="1258">
        <v>0</v>
      </c>
      <c r="G417" s="1258">
        <v>0</v>
      </c>
      <c r="H417" s="1199">
        <f t="shared" si="18"/>
        <v>-294519.08</v>
      </c>
    </row>
    <row r="418" spans="1:8" ht="15.6">
      <c r="A418" s="959">
        <f t="shared" si="19"/>
        <v>374</v>
      </c>
      <c r="B418" s="1262" t="s">
        <v>3417</v>
      </c>
      <c r="C418" s="1255">
        <v>0.2</v>
      </c>
      <c r="D418" s="1258">
        <v>-26373.7</v>
      </c>
      <c r="E418" s="1258">
        <v>-31648.439999999995</v>
      </c>
      <c r="F418" s="1258">
        <v>0</v>
      </c>
      <c r="G418" s="1258">
        <v>0</v>
      </c>
      <c r="H418" s="1199">
        <f t="shared" si="18"/>
        <v>-58022.14</v>
      </c>
    </row>
    <row r="419" spans="1:8" ht="15.6">
      <c r="A419" s="959">
        <f t="shared" si="19"/>
        <v>375</v>
      </c>
      <c r="B419" s="1262" t="s">
        <v>3418</v>
      </c>
      <c r="C419" s="1255">
        <v>0.2</v>
      </c>
      <c r="D419" s="1258">
        <v>-10252.1</v>
      </c>
      <c r="E419" s="1258">
        <v>-10312.44</v>
      </c>
      <c r="F419" s="1258">
        <v>0</v>
      </c>
      <c r="G419" s="1258">
        <v>0</v>
      </c>
      <c r="H419" s="1199">
        <f t="shared" si="18"/>
        <v>-20564.54</v>
      </c>
    </row>
    <row r="420" spans="1:8" ht="15.6">
      <c r="A420" s="959">
        <f t="shared" si="19"/>
        <v>376</v>
      </c>
      <c r="B420" s="1262" t="s">
        <v>3419</v>
      </c>
      <c r="C420" s="1255">
        <v>0.2</v>
      </c>
      <c r="D420" s="1258">
        <v>-44539.03</v>
      </c>
      <c r="E420" s="1258">
        <v>-212277.77</v>
      </c>
      <c r="F420" s="1258">
        <v>0</v>
      </c>
      <c r="G420" s="1258">
        <v>0</v>
      </c>
      <c r="H420" s="1199">
        <f t="shared" si="18"/>
        <v>-256816.8</v>
      </c>
    </row>
    <row r="421" spans="1:8" ht="15.6">
      <c r="A421" s="959">
        <f t="shared" si="19"/>
        <v>377</v>
      </c>
      <c r="B421" s="1262" t="s">
        <v>3420</v>
      </c>
      <c r="C421" s="1255">
        <v>0.2</v>
      </c>
      <c r="D421" s="1258">
        <v>-143175.65</v>
      </c>
      <c r="E421" s="1258">
        <v>-158624.35</v>
      </c>
      <c r="F421" s="1258">
        <v>0</v>
      </c>
      <c r="G421" s="1258">
        <v>0</v>
      </c>
      <c r="H421" s="1199">
        <f t="shared" si="18"/>
        <v>-301800</v>
      </c>
    </row>
    <row r="422" spans="1:8" ht="15.6">
      <c r="A422" s="959">
        <f>A421+1</f>
        <v>378</v>
      </c>
      <c r="B422" s="1472" t="s">
        <v>3421</v>
      </c>
      <c r="C422" s="1473">
        <v>0.2</v>
      </c>
      <c r="D422" s="1474">
        <v>-11952.13</v>
      </c>
      <c r="E422" s="1474">
        <v>-147780.26</v>
      </c>
      <c r="F422" s="1474">
        <v>0</v>
      </c>
      <c r="G422" s="1474">
        <v>0</v>
      </c>
      <c r="H422" s="1199">
        <f t="shared" si="18"/>
        <v>-159732.39000000001</v>
      </c>
    </row>
    <row r="423" spans="1:8" ht="15.6">
      <c r="A423" s="959">
        <f t="shared" ref="A423:A432" si="20">A422+1</f>
        <v>379</v>
      </c>
      <c r="B423" s="1262" t="s">
        <v>3554</v>
      </c>
      <c r="C423" s="1255">
        <v>0.2</v>
      </c>
      <c r="D423" s="1258">
        <v>0</v>
      </c>
      <c r="E423" s="1258">
        <v>-58984.840000000004</v>
      </c>
      <c r="F423" s="1258">
        <v>0</v>
      </c>
      <c r="G423" s="1258">
        <v>0</v>
      </c>
      <c r="H423" s="1199">
        <f t="shared" si="18"/>
        <v>-58984.840000000004</v>
      </c>
    </row>
    <row r="424" spans="1:8" ht="15.6">
      <c r="A424" s="959">
        <f t="shared" si="20"/>
        <v>380</v>
      </c>
      <c r="B424" s="1262" t="s">
        <v>3555</v>
      </c>
      <c r="C424" s="1255">
        <v>0.2</v>
      </c>
      <c r="D424" s="1258">
        <v>0</v>
      </c>
      <c r="E424" s="1258">
        <v>-61191.130000000005</v>
      </c>
      <c r="F424" s="1258">
        <v>0</v>
      </c>
      <c r="G424" s="1258">
        <v>0</v>
      </c>
      <c r="H424" s="1199">
        <f t="shared" si="18"/>
        <v>-61191.130000000005</v>
      </c>
    </row>
    <row r="425" spans="1:8" ht="15.6">
      <c r="A425" s="959">
        <f t="shared" si="20"/>
        <v>381</v>
      </c>
      <c r="B425" s="1262" t="s">
        <v>3556</v>
      </c>
      <c r="C425" s="1255">
        <v>0.1</v>
      </c>
      <c r="D425" s="1258">
        <v>0</v>
      </c>
      <c r="E425" s="1258">
        <v>-4206313.63</v>
      </c>
      <c r="F425" s="1258">
        <v>0</v>
      </c>
      <c r="G425" s="1258">
        <v>0</v>
      </c>
      <c r="H425" s="1199">
        <f t="shared" si="18"/>
        <v>-4206313.63</v>
      </c>
    </row>
    <row r="426" spans="1:8" ht="15.6">
      <c r="A426" s="959">
        <f t="shared" si="20"/>
        <v>382</v>
      </c>
      <c r="B426" s="1262" t="s">
        <v>3557</v>
      </c>
      <c r="C426" s="1255">
        <v>0.2</v>
      </c>
      <c r="D426" s="1258">
        <v>0</v>
      </c>
      <c r="E426" s="1258">
        <v>-209421.36000000002</v>
      </c>
      <c r="F426" s="1258">
        <v>0</v>
      </c>
      <c r="G426" s="1258">
        <v>0</v>
      </c>
      <c r="H426" s="1199">
        <f t="shared" si="18"/>
        <v>-209421.36000000002</v>
      </c>
    </row>
    <row r="427" spans="1:8" ht="15.6">
      <c r="A427" s="959">
        <f t="shared" si="20"/>
        <v>383</v>
      </c>
      <c r="B427" s="1262" t="s">
        <v>3558</v>
      </c>
      <c r="C427" s="1255">
        <v>0.2</v>
      </c>
      <c r="D427" s="1258">
        <v>0</v>
      </c>
      <c r="E427" s="1258">
        <v>-468300.87</v>
      </c>
      <c r="F427" s="1258">
        <v>0</v>
      </c>
      <c r="G427" s="1258">
        <v>0</v>
      </c>
      <c r="H427" s="1199">
        <f t="shared" si="18"/>
        <v>-468300.87</v>
      </c>
    </row>
    <row r="428" spans="1:8" ht="15.6">
      <c r="A428" s="959">
        <f t="shared" si="20"/>
        <v>384</v>
      </c>
      <c r="B428" s="1262" t="s">
        <v>3559</v>
      </c>
      <c r="C428" s="1255">
        <v>0.2</v>
      </c>
      <c r="D428" s="1258">
        <v>0</v>
      </c>
      <c r="E428" s="1258">
        <v>-38446.76</v>
      </c>
      <c r="F428" s="1258">
        <v>0</v>
      </c>
      <c r="G428" s="1258">
        <v>0</v>
      </c>
      <c r="H428" s="1199">
        <f t="shared" si="18"/>
        <v>-38446.76</v>
      </c>
    </row>
    <row r="429" spans="1:8" ht="15.6">
      <c r="A429" s="959">
        <f t="shared" si="20"/>
        <v>385</v>
      </c>
      <c r="B429" s="1262" t="s">
        <v>3560</v>
      </c>
      <c r="C429" s="1255">
        <v>0.2</v>
      </c>
      <c r="D429" s="1258">
        <v>0</v>
      </c>
      <c r="E429" s="1258">
        <v>-893521.92000000004</v>
      </c>
      <c r="F429" s="1258">
        <v>0</v>
      </c>
      <c r="G429" s="1258">
        <v>0</v>
      </c>
      <c r="H429" s="1199">
        <f t="shared" si="18"/>
        <v>-893521.92000000004</v>
      </c>
    </row>
    <row r="430" spans="1:8" ht="15.6">
      <c r="A430" s="959">
        <f t="shared" si="20"/>
        <v>386</v>
      </c>
      <c r="B430" s="1262" t="s">
        <v>3561</v>
      </c>
      <c r="C430" s="1255">
        <v>0.2</v>
      </c>
      <c r="D430" s="1258">
        <v>0</v>
      </c>
      <c r="E430" s="1258">
        <v>-19551.72</v>
      </c>
      <c r="F430" s="1258">
        <v>0</v>
      </c>
      <c r="G430" s="1258">
        <v>0</v>
      </c>
      <c r="H430" s="1199">
        <f t="shared" si="18"/>
        <v>-19551.72</v>
      </c>
    </row>
    <row r="431" spans="1:8" ht="15.6">
      <c r="A431" s="959">
        <f t="shared" si="20"/>
        <v>387</v>
      </c>
      <c r="B431" s="1262" t="s">
        <v>3562</v>
      </c>
      <c r="C431" s="1255">
        <v>0.2</v>
      </c>
      <c r="D431" s="1258">
        <v>0</v>
      </c>
      <c r="E431" s="1258">
        <v>-262047.53</v>
      </c>
      <c r="F431" s="1258">
        <v>0</v>
      </c>
      <c r="G431" s="1258">
        <v>0</v>
      </c>
      <c r="H431" s="1199">
        <f t="shared" si="18"/>
        <v>-262047.53</v>
      </c>
    </row>
    <row r="432" spans="1:8" ht="15.6">
      <c r="A432" s="959">
        <f t="shared" si="20"/>
        <v>388</v>
      </c>
      <c r="B432" s="1262" t="s">
        <v>3563</v>
      </c>
      <c r="C432" s="1255">
        <v>0.2</v>
      </c>
      <c r="D432" s="1258">
        <v>0</v>
      </c>
      <c r="E432" s="1258">
        <v>-163289.73000000001</v>
      </c>
      <c r="F432" s="1258">
        <v>0</v>
      </c>
      <c r="G432" s="1258">
        <v>0</v>
      </c>
      <c r="H432" s="1199">
        <f t="shared" si="18"/>
        <v>-163289.73000000001</v>
      </c>
    </row>
    <row r="433" spans="1:8" ht="20.399999999999999">
      <c r="A433" s="1713" t="s">
        <v>2979</v>
      </c>
      <c r="B433" s="1713"/>
      <c r="C433" s="1713"/>
      <c r="D433" s="1713"/>
      <c r="E433" s="1713"/>
      <c r="F433" s="1713"/>
      <c r="G433" s="1713"/>
      <c r="H433" s="1713"/>
    </row>
    <row r="434" spans="1:8" ht="19.2">
      <c r="A434" s="1725" t="str">
        <f>+A355</f>
        <v>For Contract Year Beginning June 1, 2024, Based on 2023 Data</v>
      </c>
      <c r="B434" s="1725"/>
      <c r="C434" s="1725"/>
      <c r="D434" s="1725"/>
      <c r="E434" s="1725"/>
      <c r="F434" s="1725"/>
      <c r="G434" s="1725"/>
      <c r="H434" s="1725"/>
    </row>
    <row r="435" spans="1:8">
      <c r="A435" s="864"/>
      <c r="B435" s="864"/>
      <c r="C435" s="864"/>
      <c r="D435" s="864"/>
      <c r="E435" s="864"/>
      <c r="F435" s="864"/>
      <c r="G435" s="864"/>
      <c r="H435" s="864"/>
    </row>
    <row r="436" spans="1:8">
      <c r="A436" s="864"/>
      <c r="B436" s="864"/>
      <c r="C436" s="928" t="s">
        <v>480</v>
      </c>
      <c r="D436" s="928" t="s">
        <v>481</v>
      </c>
      <c r="E436" s="928" t="s">
        <v>482</v>
      </c>
      <c r="F436" s="928" t="s">
        <v>483</v>
      </c>
      <c r="G436" s="928" t="s">
        <v>484</v>
      </c>
      <c r="H436" s="928" t="s">
        <v>884</v>
      </c>
    </row>
    <row r="437" spans="1:8" ht="15.6">
      <c r="A437" s="458"/>
      <c r="B437" s="458"/>
      <c r="C437" s="458"/>
      <c r="D437" s="931" t="s">
        <v>469</v>
      </c>
      <c r="E437" s="931"/>
      <c r="F437" s="931"/>
      <c r="G437" s="931"/>
      <c r="H437" s="931" t="s">
        <v>2250</v>
      </c>
    </row>
    <row r="438" spans="1:8" ht="15.6">
      <c r="A438" s="458"/>
      <c r="B438" s="458"/>
      <c r="C438" s="932" t="s">
        <v>2344</v>
      </c>
      <c r="D438" s="931" t="s">
        <v>655</v>
      </c>
      <c r="E438" s="931" t="s">
        <v>656</v>
      </c>
      <c r="F438" s="931" t="s">
        <v>656</v>
      </c>
      <c r="G438" s="931" t="s">
        <v>656</v>
      </c>
      <c r="H438" s="933" t="s">
        <v>2251</v>
      </c>
    </row>
    <row r="439" spans="1:8" ht="18.600000000000001">
      <c r="A439" s="1528" t="s">
        <v>494</v>
      </c>
      <c r="B439" s="934" t="s">
        <v>880</v>
      </c>
      <c r="C439" s="935" t="s">
        <v>2483</v>
      </c>
      <c r="D439" s="936" t="s">
        <v>2251</v>
      </c>
      <c r="E439" s="935" t="s">
        <v>2484</v>
      </c>
      <c r="F439" s="934" t="s">
        <v>515</v>
      </c>
      <c r="G439" s="934" t="s">
        <v>516</v>
      </c>
      <c r="H439" s="937" t="s">
        <v>2349</v>
      </c>
    </row>
    <row r="440" spans="1:8" ht="15.6">
      <c r="A440" s="959">
        <f>A432+1</f>
        <v>389</v>
      </c>
      <c r="B440" s="1472" t="s">
        <v>3564</v>
      </c>
      <c r="C440" s="1473">
        <v>0.2</v>
      </c>
      <c r="D440" s="1474">
        <v>0</v>
      </c>
      <c r="E440" s="1474">
        <v>-56923.880000000005</v>
      </c>
      <c r="F440" s="1474">
        <v>0</v>
      </c>
      <c r="G440" s="1474">
        <v>0</v>
      </c>
      <c r="H440" s="1199">
        <f t="shared" ref="H440:H447" si="21">+D440+E440+F440+G440</f>
        <v>-56923.880000000005</v>
      </c>
    </row>
    <row r="441" spans="1:8" ht="15.6">
      <c r="A441" s="959">
        <f t="shared" ref="A441:A447" si="22">A440+1</f>
        <v>390</v>
      </c>
      <c r="B441" s="1472" t="s">
        <v>3565</v>
      </c>
      <c r="C441" s="1473">
        <v>0.2</v>
      </c>
      <c r="D441" s="1474">
        <v>0</v>
      </c>
      <c r="E441" s="1474">
        <v>-40957</v>
      </c>
      <c r="F441" s="1474">
        <v>0</v>
      </c>
      <c r="G441" s="1474">
        <v>0</v>
      </c>
      <c r="H441" s="1199">
        <f t="shared" si="21"/>
        <v>-40957</v>
      </c>
    </row>
    <row r="442" spans="1:8" ht="15.6">
      <c r="A442" s="959">
        <f t="shared" si="22"/>
        <v>391</v>
      </c>
      <c r="B442" s="1472" t="s">
        <v>3566</v>
      </c>
      <c r="C442" s="1473">
        <v>0.2</v>
      </c>
      <c r="D442" s="1474">
        <v>0</v>
      </c>
      <c r="E442" s="1474">
        <v>-37524.17</v>
      </c>
      <c r="F442" s="1474">
        <v>0</v>
      </c>
      <c r="G442" s="1474">
        <v>0</v>
      </c>
      <c r="H442" s="1199">
        <f t="shared" si="21"/>
        <v>-37524.17</v>
      </c>
    </row>
    <row r="443" spans="1:8" ht="15.6">
      <c r="A443" s="959">
        <f t="shared" si="22"/>
        <v>392</v>
      </c>
      <c r="B443" s="1472" t="s">
        <v>3567</v>
      </c>
      <c r="C443" s="1473">
        <v>0.2</v>
      </c>
      <c r="D443" s="1474">
        <v>0</v>
      </c>
      <c r="E443" s="1474">
        <v>-202848.45</v>
      </c>
      <c r="F443" s="1474">
        <v>0</v>
      </c>
      <c r="G443" s="1474">
        <v>0</v>
      </c>
      <c r="H443" s="1199">
        <f t="shared" si="21"/>
        <v>-202848.45</v>
      </c>
    </row>
    <row r="444" spans="1:8" ht="15.6">
      <c r="A444" s="959">
        <f t="shared" si="22"/>
        <v>393</v>
      </c>
      <c r="B444" s="1472" t="s">
        <v>3568</v>
      </c>
      <c r="C444" s="1473">
        <v>0.2</v>
      </c>
      <c r="D444" s="1474">
        <v>0</v>
      </c>
      <c r="E444" s="1474">
        <v>-220254.51</v>
      </c>
      <c r="F444" s="1474">
        <v>0</v>
      </c>
      <c r="G444" s="1474">
        <v>0</v>
      </c>
      <c r="H444" s="1199">
        <f t="shared" si="21"/>
        <v>-220254.51</v>
      </c>
    </row>
    <row r="445" spans="1:8" ht="15.6">
      <c r="A445" s="959">
        <f t="shared" si="22"/>
        <v>394</v>
      </c>
      <c r="B445" s="1472" t="s">
        <v>3569</v>
      </c>
      <c r="C445" s="1473">
        <v>0.05</v>
      </c>
      <c r="D445" s="1474">
        <v>0</v>
      </c>
      <c r="E445" s="1474">
        <v>-351295.08999999997</v>
      </c>
      <c r="F445" s="1474">
        <v>0</v>
      </c>
      <c r="G445" s="1474">
        <v>0</v>
      </c>
      <c r="H445" s="1199">
        <f t="shared" si="21"/>
        <v>-351295.08999999997</v>
      </c>
    </row>
    <row r="446" spans="1:8" ht="15.6">
      <c r="A446" s="959">
        <f t="shared" si="22"/>
        <v>395</v>
      </c>
      <c r="B446" s="1472" t="s">
        <v>3570</v>
      </c>
      <c r="C446" s="1473">
        <v>0.2</v>
      </c>
      <c r="D446" s="1474">
        <v>0</v>
      </c>
      <c r="E446" s="1474">
        <v>-828959.53</v>
      </c>
      <c r="F446" s="1474">
        <v>0</v>
      </c>
      <c r="G446" s="1474">
        <v>0</v>
      </c>
      <c r="H446" s="1199">
        <f t="shared" si="21"/>
        <v>-828959.53</v>
      </c>
    </row>
    <row r="447" spans="1:8" ht="15.6">
      <c r="A447" s="959">
        <f t="shared" si="22"/>
        <v>396</v>
      </c>
      <c r="B447" s="1472" t="s">
        <v>3571</v>
      </c>
      <c r="C447" s="1473">
        <v>0.2</v>
      </c>
      <c r="D447" s="1474">
        <v>0</v>
      </c>
      <c r="E447" s="1474">
        <v>-1483.35</v>
      </c>
      <c r="F447" s="1474">
        <v>0</v>
      </c>
      <c r="G447" s="1474">
        <v>0</v>
      </c>
      <c r="H447" s="1199">
        <f t="shared" si="21"/>
        <v>-1483.35</v>
      </c>
    </row>
    <row r="448" spans="1:8" ht="15.6">
      <c r="A448" s="923"/>
      <c r="B448" s="730"/>
      <c r="C448" s="943"/>
      <c r="D448" s="944"/>
      <c r="E448" s="944"/>
      <c r="F448" s="944"/>
      <c r="G448" s="944"/>
      <c r="H448" s="944"/>
    </row>
    <row r="449" spans="1:8" ht="15.6">
      <c r="A449" s="902">
        <f>A447+1</f>
        <v>397</v>
      </c>
      <c r="B449" s="730" t="s">
        <v>3183</v>
      </c>
      <c r="C449" s="943"/>
      <c r="D449" s="944">
        <f>SUM(D9:D448)</f>
        <v>-82801744.680000007</v>
      </c>
      <c r="E449" s="944">
        <f>SUM(E9:E448)</f>
        <v>-28647626.960000005</v>
      </c>
      <c r="F449" s="944">
        <f>SUM(F9:F448)</f>
        <v>19743493.910000008</v>
      </c>
      <c r="G449" s="944">
        <f>SUM(G9:G448)</f>
        <v>0</v>
      </c>
      <c r="H449" s="1294">
        <f>SUM(H9:H448)</f>
        <v>-91705877.729999989</v>
      </c>
    </row>
    <row r="450" spans="1:8" ht="15.6">
      <c r="A450" s="923"/>
      <c r="B450" s="730"/>
      <c r="C450" s="943"/>
      <c r="D450" s="944"/>
      <c r="E450" s="944"/>
      <c r="F450" s="944"/>
      <c r="G450" s="944"/>
      <c r="H450" s="945" t="s">
        <v>1604</v>
      </c>
    </row>
    <row r="451" spans="1:8" ht="15.6">
      <c r="A451" s="923"/>
      <c r="B451" s="730"/>
      <c r="C451" s="943"/>
      <c r="D451" s="944"/>
      <c r="E451" s="944"/>
      <c r="F451" s="944"/>
      <c r="G451" s="944"/>
      <c r="H451" s="945"/>
    </row>
    <row r="452" spans="1:8" ht="20.399999999999999">
      <c r="A452" s="1795" t="s">
        <v>2979</v>
      </c>
      <c r="B452" s="1795"/>
      <c r="C452" s="1795"/>
      <c r="D452" s="1795"/>
      <c r="E452" s="1795"/>
      <c r="F452" s="1795"/>
      <c r="G452" s="1795"/>
      <c r="H452" s="1795"/>
    </row>
    <row r="453" spans="1:8" ht="18.600000000000001">
      <c r="A453" s="1796" t="str">
        <f>+A2</f>
        <v>For Contract Year Beginning June 1, 2024, Based on 2023 Data</v>
      </c>
      <c r="B453" s="1796"/>
      <c r="C453" s="1796"/>
      <c r="D453" s="1796"/>
      <c r="E453" s="1796"/>
      <c r="F453" s="1796"/>
      <c r="G453" s="1796"/>
      <c r="H453" s="1796"/>
    </row>
    <row r="454" spans="1:8" ht="15.6">
      <c r="A454" s="923"/>
      <c r="B454" s="730"/>
      <c r="C454" s="943"/>
      <c r="D454" s="944"/>
      <c r="E454" s="944"/>
      <c r="F454" s="944"/>
      <c r="G454" s="944"/>
      <c r="H454" s="945"/>
    </row>
    <row r="455" spans="1:8" ht="15.6">
      <c r="A455" s="923"/>
      <c r="B455" s="730"/>
      <c r="C455" s="928" t="s">
        <v>480</v>
      </c>
      <c r="D455" s="928" t="s">
        <v>481</v>
      </c>
      <c r="E455" s="928" t="s">
        <v>482</v>
      </c>
      <c r="F455" s="928" t="s">
        <v>483</v>
      </c>
      <c r="G455" s="928" t="s">
        <v>484</v>
      </c>
      <c r="H455" s="928" t="s">
        <v>884</v>
      </c>
    </row>
    <row r="456" spans="1:8" ht="15.6">
      <c r="A456" s="923"/>
      <c r="B456" s="730"/>
      <c r="C456" s="458"/>
      <c r="D456" s="946" t="s">
        <v>469</v>
      </c>
      <c r="E456" s="946"/>
      <c r="F456" s="946"/>
      <c r="G456" s="946"/>
      <c r="H456" s="946" t="s">
        <v>2250</v>
      </c>
    </row>
    <row r="457" spans="1:8" ht="15.6">
      <c r="A457" s="923"/>
      <c r="B457" s="730"/>
      <c r="C457" s="1201" t="s">
        <v>2348</v>
      </c>
      <c r="D457" s="946" t="s">
        <v>655</v>
      </c>
      <c r="E457" s="946" t="s">
        <v>656</v>
      </c>
      <c r="F457" s="946" t="s">
        <v>656</v>
      </c>
      <c r="G457" s="946" t="s">
        <v>656</v>
      </c>
      <c r="H457" s="947" t="s">
        <v>2251</v>
      </c>
    </row>
    <row r="458" spans="1:8" ht="18.600000000000001">
      <c r="A458" s="923" t="s">
        <v>494</v>
      </c>
      <c r="B458" s="935" t="s">
        <v>880</v>
      </c>
      <c r="C458" s="1202" t="s">
        <v>2874</v>
      </c>
      <c r="D458" s="937" t="s">
        <v>2251</v>
      </c>
      <c r="E458" s="935" t="s">
        <v>2484</v>
      </c>
      <c r="F458" s="935" t="s">
        <v>515</v>
      </c>
      <c r="G458" s="935" t="s">
        <v>516</v>
      </c>
      <c r="H458" s="937" t="s">
        <v>2349</v>
      </c>
    </row>
    <row r="459" spans="1:8" ht="15.75" customHeight="1">
      <c r="A459" s="572">
        <f>A449+1</f>
        <v>398</v>
      </c>
      <c r="B459" s="938" t="s">
        <v>3182</v>
      </c>
      <c r="C459" s="1200"/>
      <c r="D459" s="948"/>
      <c r="E459" s="948"/>
      <c r="F459" s="948"/>
      <c r="G459" s="948"/>
      <c r="H459" s="949"/>
    </row>
    <row r="460" spans="1:8" ht="15.75" customHeight="1">
      <c r="A460" s="572">
        <f t="shared" ref="A460:A465" si="23">A459+1</f>
        <v>399</v>
      </c>
      <c r="B460" s="1622" t="s">
        <v>1951</v>
      </c>
      <c r="C460" s="1623">
        <v>10</v>
      </c>
      <c r="D460" s="1624">
        <v>15198480.25</v>
      </c>
      <c r="E460" s="1624">
        <v>0</v>
      </c>
      <c r="F460" s="1624">
        <v>0</v>
      </c>
      <c r="G460" s="1624">
        <v>-15198480.25</v>
      </c>
      <c r="H460" s="944">
        <f t="shared" ref="H460:H465" si="24">+D460+E460+F460+G460</f>
        <v>0</v>
      </c>
    </row>
    <row r="461" spans="1:8" ht="15.75" customHeight="1">
      <c r="A461" s="572">
        <f t="shared" si="23"/>
        <v>400</v>
      </c>
      <c r="B461" s="1622" t="s">
        <v>2345</v>
      </c>
      <c r="C461" s="1623">
        <v>5</v>
      </c>
      <c r="D461" s="1624">
        <v>414058.36</v>
      </c>
      <c r="E461" s="1624">
        <v>0</v>
      </c>
      <c r="F461" s="1624">
        <v>0</v>
      </c>
      <c r="G461" s="1624">
        <v>0</v>
      </c>
      <c r="H461" s="944">
        <f t="shared" si="24"/>
        <v>414058.36</v>
      </c>
    </row>
    <row r="462" spans="1:8" ht="15.75" customHeight="1">
      <c r="A462" s="572">
        <f t="shared" si="23"/>
        <v>401</v>
      </c>
      <c r="B462" s="1622" t="s">
        <v>3350</v>
      </c>
      <c r="C462" s="1623" t="s">
        <v>3120</v>
      </c>
      <c r="D462" s="1624">
        <v>5376.8</v>
      </c>
      <c r="E462" s="1624">
        <v>0</v>
      </c>
      <c r="F462" s="1624">
        <v>0</v>
      </c>
      <c r="G462" s="1624">
        <v>0</v>
      </c>
      <c r="H462" s="944">
        <f t="shared" si="24"/>
        <v>5376.8</v>
      </c>
    </row>
    <row r="463" spans="1:8" ht="15.75" customHeight="1">
      <c r="A463" s="572">
        <f t="shared" si="23"/>
        <v>402</v>
      </c>
      <c r="B463" s="1622" t="s">
        <v>2699</v>
      </c>
      <c r="C463" s="1623" t="s">
        <v>3120</v>
      </c>
      <c r="D463" s="1624">
        <v>13735.68</v>
      </c>
      <c r="E463" s="1624">
        <v>0</v>
      </c>
      <c r="F463" s="1624">
        <v>0</v>
      </c>
      <c r="G463" s="1624">
        <v>0</v>
      </c>
      <c r="H463" s="944">
        <f t="shared" si="24"/>
        <v>13735.68</v>
      </c>
    </row>
    <row r="464" spans="1:8" ht="15.75" customHeight="1">
      <c r="A464" s="572">
        <f t="shared" si="23"/>
        <v>403</v>
      </c>
      <c r="B464" s="1622" t="s">
        <v>1952</v>
      </c>
      <c r="C464" s="1625">
        <v>4</v>
      </c>
      <c r="D464" s="1624">
        <v>360343.65</v>
      </c>
      <c r="E464" s="1624">
        <v>0</v>
      </c>
      <c r="F464" s="1624">
        <v>0</v>
      </c>
      <c r="G464" s="1624">
        <v>0</v>
      </c>
      <c r="H464" s="944">
        <f t="shared" si="24"/>
        <v>360343.65</v>
      </c>
    </row>
    <row r="465" spans="1:8" ht="15.75" customHeight="1">
      <c r="A465" s="572">
        <f t="shared" si="23"/>
        <v>404</v>
      </c>
      <c r="B465" s="1626" t="s">
        <v>2700</v>
      </c>
      <c r="C465" s="1625">
        <v>6</v>
      </c>
      <c r="D465" s="1627">
        <v>624945.09000000008</v>
      </c>
      <c r="E465" s="1627">
        <v>0</v>
      </c>
      <c r="F465" s="1627">
        <v>0</v>
      </c>
      <c r="G465" s="1627">
        <v>0</v>
      </c>
      <c r="H465" s="440">
        <f t="shared" si="24"/>
        <v>624945.09000000008</v>
      </c>
    </row>
    <row r="466" spans="1:8" ht="15.75" customHeight="1">
      <c r="A466" s="923"/>
      <c r="B466" s="950"/>
      <c r="C466" s="948"/>
      <c r="D466" s="944"/>
      <c r="E466" s="1180"/>
      <c r="F466" s="944"/>
      <c r="G466" s="944"/>
      <c r="H466" s="944"/>
    </row>
    <row r="467" spans="1:8" ht="15.75" customHeight="1">
      <c r="A467" s="902">
        <f>A465+1</f>
        <v>405</v>
      </c>
      <c r="B467" s="730" t="s">
        <v>3183</v>
      </c>
      <c r="C467" s="948"/>
      <c r="D467" s="944">
        <f>SUM(D460:D465)</f>
        <v>16616939.83</v>
      </c>
      <c r="E467" s="944">
        <f>SUM(E460:E465)</f>
        <v>0</v>
      </c>
      <c r="F467" s="944">
        <f>SUM(F460:F465)</f>
        <v>0</v>
      </c>
      <c r="G467" s="944">
        <f>SUM(G460:G465)</f>
        <v>-15198480.25</v>
      </c>
      <c r="H467" s="1294">
        <f>SUM(H460:H465)</f>
        <v>1418459.58</v>
      </c>
    </row>
    <row r="468" spans="1:8" ht="17.25" customHeight="1">
      <c r="A468" s="951"/>
      <c r="B468" s="950"/>
      <c r="C468" s="948"/>
      <c r="D468" s="948"/>
      <c r="E468" s="948"/>
      <c r="F468" s="948"/>
      <c r="G468" s="948"/>
      <c r="H468" s="945" t="s">
        <v>1953</v>
      </c>
    </row>
    <row r="469" spans="1:8" ht="17.25" customHeight="1">
      <c r="A469" s="951"/>
      <c r="B469" s="950"/>
      <c r="C469" s="948"/>
      <c r="D469" s="948"/>
      <c r="E469" s="948"/>
      <c r="F469" s="948"/>
      <c r="G469" s="948"/>
      <c r="H469" s="945"/>
    </row>
    <row r="470" spans="1:8" s="298" customFormat="1" ht="15.75" customHeight="1">
      <c r="A470" s="923"/>
      <c r="B470" s="952" t="s">
        <v>2486</v>
      </c>
      <c r="C470" s="945"/>
      <c r="D470" s="953" t="s">
        <v>2892</v>
      </c>
      <c r="E470" s="944"/>
      <c r="F470" s="944"/>
      <c r="G470" s="944"/>
      <c r="H470" s="945"/>
    </row>
    <row r="471" spans="1:8" s="298" customFormat="1" ht="15.75" customHeight="1">
      <c r="A471" s="923"/>
      <c r="B471" s="954" t="s">
        <v>2342</v>
      </c>
      <c r="C471" s="945"/>
      <c r="D471" s="944">
        <v>6.67</v>
      </c>
      <c r="E471" s="944"/>
      <c r="F471" s="944"/>
      <c r="G471" s="944"/>
      <c r="H471" s="945"/>
    </row>
    <row r="472" spans="1:8" s="298" customFormat="1" ht="15.75" customHeight="1">
      <c r="A472" s="923"/>
      <c r="B472" s="954" t="s">
        <v>2343</v>
      </c>
      <c r="C472" s="945"/>
      <c r="D472" s="944">
        <v>20</v>
      </c>
      <c r="E472" s="944"/>
      <c r="F472" s="944"/>
      <c r="G472" s="944"/>
      <c r="H472" s="945"/>
    </row>
    <row r="473" spans="1:8" ht="17.25" customHeight="1">
      <c r="A473" s="951"/>
      <c r="B473" s="950"/>
      <c r="C473" s="948"/>
      <c r="D473" s="948"/>
      <c r="E473" s="948"/>
      <c r="F473" s="948"/>
      <c r="G473" s="948"/>
      <c r="H473" s="945"/>
    </row>
    <row r="474" spans="1:8" ht="17.25" customHeight="1">
      <c r="A474" s="951"/>
      <c r="B474" s="730" t="s">
        <v>3184</v>
      </c>
      <c r="C474" s="948"/>
      <c r="D474" s="948"/>
      <c r="E474" s="948"/>
      <c r="F474" s="948"/>
      <c r="G474" s="948"/>
      <c r="H474" s="945"/>
    </row>
    <row r="475" spans="1:8" ht="17.25" customHeight="1">
      <c r="A475" s="951"/>
      <c r="B475" s="950"/>
      <c r="C475" s="948"/>
      <c r="D475" s="948"/>
      <c r="E475" s="948"/>
      <c r="F475" s="948"/>
      <c r="G475" s="948"/>
      <c r="H475" s="945"/>
    </row>
    <row r="476" spans="1:8" s="298" customFormat="1" ht="15.75" customHeight="1">
      <c r="A476" s="949"/>
      <c r="B476" s="955" t="s">
        <v>363</v>
      </c>
      <c r="C476" s="948"/>
      <c r="D476" s="948"/>
      <c r="E476" s="948"/>
      <c r="F476" s="948"/>
      <c r="G476" s="948"/>
      <c r="H476" s="948"/>
    </row>
    <row r="477" spans="1:8" s="298" customFormat="1" ht="15.75" customHeight="1">
      <c r="A477" s="949"/>
      <c r="B477" s="955" t="s">
        <v>2487</v>
      </c>
      <c r="C477" s="948"/>
      <c r="D477" s="948"/>
      <c r="E477" s="948"/>
      <c r="F477" s="948"/>
      <c r="G477" s="948"/>
      <c r="H477" s="948"/>
    </row>
    <row r="478" spans="1:8" s="298" customFormat="1" ht="15.75" customHeight="1">
      <c r="A478" s="862"/>
      <c r="B478" s="955" t="s">
        <v>2488</v>
      </c>
      <c r="C478" s="949"/>
      <c r="D478" s="949"/>
      <c r="E478" s="949"/>
      <c r="F478" s="949"/>
      <c r="G478" s="862"/>
      <c r="H478" s="862"/>
    </row>
    <row r="479" spans="1:8" s="298" customFormat="1" ht="15.75" customHeight="1">
      <c r="A479" s="862"/>
      <c r="B479" s="955" t="s">
        <v>2489</v>
      </c>
      <c r="C479" s="949"/>
      <c r="D479" s="949"/>
      <c r="E479" s="949"/>
      <c r="F479" s="949"/>
      <c r="G479" s="862"/>
      <c r="H479" s="862"/>
    </row>
    <row r="480" spans="1:8" ht="53.25" customHeight="1">
      <c r="A480" s="866"/>
      <c r="B480" s="1793" t="s">
        <v>2490</v>
      </c>
      <c r="C480" s="1794"/>
      <c r="D480" s="1794"/>
      <c r="E480" s="1794"/>
      <c r="F480" s="1794"/>
      <c r="G480" s="956"/>
      <c r="H480" s="957"/>
    </row>
    <row r="481" spans="1:8">
      <c r="A481" s="866"/>
      <c r="B481" s="958"/>
      <c r="C481" s="956"/>
      <c r="D481" s="956"/>
      <c r="E481" s="956"/>
      <c r="F481" s="956"/>
      <c r="G481" s="956"/>
      <c r="H481" s="956"/>
    </row>
    <row r="482" spans="1:8">
      <c r="B482" s="44"/>
      <c r="C482" s="49"/>
      <c r="D482" s="49"/>
      <c r="E482" s="49"/>
      <c r="F482" s="49"/>
      <c r="G482" s="49"/>
      <c r="H482" s="49"/>
    </row>
    <row r="483" spans="1:8">
      <c r="B483" s="44"/>
      <c r="C483" s="49"/>
      <c r="D483" s="49"/>
      <c r="E483" s="49"/>
      <c r="F483" s="49"/>
      <c r="G483" s="49"/>
      <c r="H483" s="49"/>
    </row>
    <row r="484" spans="1:8">
      <c r="B484" s="44"/>
      <c r="C484" s="49"/>
      <c r="D484" s="49"/>
      <c r="E484" s="49"/>
      <c r="F484" s="49"/>
      <c r="G484" s="49"/>
      <c r="H484" s="49"/>
    </row>
    <row r="485" spans="1:8">
      <c r="B485" s="44"/>
      <c r="C485" s="49"/>
      <c r="D485" s="49"/>
      <c r="E485" s="49"/>
      <c r="F485" s="49"/>
      <c r="G485" s="49"/>
      <c r="H485" s="49"/>
    </row>
    <row r="486" spans="1:8">
      <c r="B486" s="44"/>
      <c r="C486" s="49"/>
      <c r="D486" s="49"/>
      <c r="E486" s="49"/>
      <c r="F486" s="49"/>
      <c r="G486" s="49"/>
      <c r="H486" s="49"/>
    </row>
    <row r="487" spans="1:8">
      <c r="B487" s="44"/>
      <c r="C487" s="49"/>
      <c r="D487" s="49"/>
      <c r="E487" s="49"/>
      <c r="F487" s="49"/>
      <c r="G487" s="49"/>
      <c r="H487" s="49"/>
    </row>
    <row r="488" spans="1:8">
      <c r="B488" s="44"/>
      <c r="C488" s="49"/>
      <c r="D488" s="49"/>
      <c r="E488" s="49"/>
      <c r="F488" s="49"/>
      <c r="G488" s="49"/>
      <c r="H488" s="49"/>
    </row>
    <row r="489" spans="1:8">
      <c r="B489" s="44"/>
      <c r="C489" s="49"/>
      <c r="D489" s="49"/>
      <c r="E489" s="49"/>
      <c r="F489" s="49"/>
      <c r="G489" s="49"/>
      <c r="H489" s="49"/>
    </row>
    <row r="490" spans="1:8">
      <c r="B490" s="44"/>
      <c r="C490" s="49"/>
      <c r="D490" s="49"/>
      <c r="E490" s="49"/>
      <c r="F490" s="49"/>
      <c r="G490" s="49"/>
      <c r="H490" s="49"/>
    </row>
    <row r="491" spans="1:8">
      <c r="B491" s="44"/>
      <c r="C491" s="49"/>
      <c r="D491" s="49"/>
      <c r="E491" s="49"/>
      <c r="F491" s="49"/>
      <c r="G491" s="49"/>
      <c r="H491" s="49"/>
    </row>
    <row r="492" spans="1:8">
      <c r="B492" s="44"/>
      <c r="C492" s="49"/>
      <c r="D492" s="49"/>
      <c r="E492" s="49"/>
      <c r="F492" s="49"/>
      <c r="G492" s="49"/>
      <c r="H492" s="49"/>
    </row>
    <row r="493" spans="1:8">
      <c r="B493" s="44"/>
      <c r="C493" s="49"/>
      <c r="D493" s="49"/>
      <c r="E493" s="49"/>
      <c r="F493" s="49"/>
      <c r="G493" s="49"/>
      <c r="H493" s="49"/>
    </row>
    <row r="494" spans="1:8">
      <c r="B494" s="44"/>
      <c r="C494" s="49"/>
      <c r="D494" s="49"/>
      <c r="E494" s="49"/>
      <c r="F494" s="49"/>
      <c r="G494" s="49"/>
      <c r="H494" s="49"/>
    </row>
    <row r="495" spans="1:8">
      <c r="B495" s="44"/>
      <c r="C495" s="49"/>
      <c r="D495" s="49"/>
      <c r="E495" s="49"/>
      <c r="F495" s="49"/>
      <c r="G495" s="49"/>
      <c r="H495" s="49"/>
    </row>
    <row r="496" spans="1:8">
      <c r="B496" s="44"/>
      <c r="C496" s="49"/>
      <c r="D496" s="49"/>
      <c r="E496" s="49"/>
      <c r="F496" s="49"/>
      <c r="G496" s="49"/>
      <c r="H496" s="49"/>
    </row>
    <row r="497" spans="1:8">
      <c r="B497" s="44"/>
      <c r="C497" s="49"/>
      <c r="D497" s="49"/>
      <c r="E497" s="49"/>
      <c r="F497" s="49"/>
      <c r="G497" s="49"/>
      <c r="H497" s="49"/>
    </row>
    <row r="498" spans="1:8">
      <c r="B498" s="44"/>
      <c r="C498" s="49"/>
      <c r="D498" s="49"/>
      <c r="E498" s="49"/>
      <c r="F498" s="49"/>
      <c r="G498" s="49"/>
      <c r="H498" s="49"/>
    </row>
    <row r="499" spans="1:8">
      <c r="B499" s="44"/>
      <c r="C499" s="49"/>
      <c r="D499" s="49"/>
      <c r="E499" s="49"/>
      <c r="F499" s="49"/>
      <c r="G499" s="49"/>
      <c r="H499" s="49"/>
    </row>
    <row r="500" spans="1:8">
      <c r="B500" s="44"/>
      <c r="C500" s="49"/>
      <c r="D500" s="49"/>
      <c r="E500" s="49"/>
      <c r="F500" s="49"/>
      <c r="G500" s="49"/>
      <c r="H500" s="49"/>
    </row>
    <row r="501" spans="1:8">
      <c r="B501" s="44"/>
      <c r="C501" s="49"/>
      <c r="D501" s="49"/>
      <c r="E501" s="49"/>
      <c r="F501" s="49"/>
      <c r="G501" s="49"/>
      <c r="H501" s="49"/>
    </row>
    <row r="502" spans="1:8">
      <c r="A502" s="44"/>
      <c r="B502" s="44"/>
      <c r="C502" s="49"/>
      <c r="D502" s="49"/>
      <c r="E502" s="49"/>
      <c r="F502" s="49"/>
      <c r="G502" s="49"/>
      <c r="H502" s="49"/>
    </row>
    <row r="503" spans="1:8">
      <c r="A503" s="44"/>
      <c r="B503" s="44"/>
      <c r="C503" s="49"/>
      <c r="D503" s="49"/>
      <c r="E503" s="49"/>
      <c r="F503" s="49"/>
      <c r="G503" s="49"/>
      <c r="H503" s="49"/>
    </row>
    <row r="504" spans="1:8">
      <c r="A504" s="44"/>
      <c r="B504" s="44"/>
      <c r="C504" s="49"/>
      <c r="D504" s="49"/>
      <c r="E504" s="49"/>
      <c r="F504" s="49"/>
      <c r="G504" s="49"/>
      <c r="H504" s="49"/>
    </row>
    <row r="505" spans="1:8">
      <c r="A505" s="44"/>
      <c r="B505" s="44"/>
      <c r="C505" s="49"/>
      <c r="D505" s="49"/>
      <c r="E505" s="49"/>
      <c r="F505" s="49"/>
      <c r="G505" s="49"/>
      <c r="H505" s="49"/>
    </row>
    <row r="506" spans="1:8">
      <c r="A506" s="44"/>
      <c r="B506" s="44"/>
      <c r="C506" s="49"/>
      <c r="D506" s="49"/>
      <c r="E506" s="49"/>
      <c r="F506" s="49"/>
      <c r="G506" s="49"/>
      <c r="H506" s="49"/>
    </row>
    <row r="507" spans="1:8">
      <c r="A507" s="44"/>
      <c r="B507" s="44"/>
      <c r="C507" s="49"/>
      <c r="D507" s="49"/>
      <c r="E507" s="49"/>
      <c r="F507" s="49"/>
      <c r="G507" s="49"/>
      <c r="H507" s="49"/>
    </row>
    <row r="508" spans="1:8">
      <c r="A508" s="44"/>
      <c r="B508" s="44"/>
      <c r="C508" s="49"/>
      <c r="D508" s="49"/>
      <c r="E508" s="49"/>
      <c r="F508" s="49"/>
      <c r="G508" s="49"/>
      <c r="H508" s="49"/>
    </row>
    <row r="509" spans="1:8">
      <c r="A509" s="44"/>
      <c r="B509" s="44"/>
      <c r="C509" s="49"/>
      <c r="D509" s="49"/>
      <c r="E509" s="49"/>
      <c r="F509" s="49"/>
      <c r="G509" s="49"/>
      <c r="H509" s="49"/>
    </row>
    <row r="510" spans="1:8">
      <c r="A510" s="44"/>
      <c r="B510" s="44"/>
      <c r="C510" s="49"/>
      <c r="D510" s="49"/>
      <c r="E510" s="49"/>
      <c r="F510" s="49"/>
      <c r="G510" s="49"/>
      <c r="H510" s="49"/>
    </row>
    <row r="511" spans="1:8">
      <c r="A511" s="44"/>
      <c r="B511" s="44"/>
      <c r="C511" s="49"/>
      <c r="D511" s="49"/>
      <c r="E511" s="49"/>
      <c r="F511" s="49"/>
      <c r="G511" s="49"/>
      <c r="H511" s="49"/>
    </row>
    <row r="512" spans="1:8">
      <c r="A512" s="44"/>
      <c r="B512" s="44"/>
      <c r="C512" s="49"/>
      <c r="D512" s="49"/>
      <c r="E512" s="49"/>
      <c r="F512" s="49"/>
      <c r="G512" s="49"/>
      <c r="H512" s="49"/>
    </row>
    <row r="513" spans="1:8">
      <c r="A513" s="44"/>
      <c r="B513" s="44"/>
      <c r="C513" s="49"/>
      <c r="D513" s="49"/>
      <c r="E513" s="49"/>
      <c r="F513" s="49"/>
      <c r="G513" s="49"/>
      <c r="H513" s="49"/>
    </row>
    <row r="514" spans="1:8">
      <c r="A514" s="44"/>
      <c r="B514" s="44"/>
      <c r="C514" s="49"/>
      <c r="D514" s="49"/>
      <c r="E514" s="49"/>
      <c r="F514" s="49"/>
      <c r="G514" s="49"/>
      <c r="H514" s="49"/>
    </row>
    <row r="515" spans="1:8">
      <c r="A515" s="44"/>
      <c r="B515" s="44"/>
      <c r="C515" s="49"/>
      <c r="D515" s="49"/>
      <c r="E515" s="49"/>
      <c r="F515" s="49"/>
      <c r="G515" s="49"/>
      <c r="H515" s="49"/>
    </row>
    <row r="516" spans="1:8">
      <c r="A516" s="44"/>
      <c r="B516" s="44"/>
      <c r="C516" s="49"/>
      <c r="D516" s="49"/>
      <c r="E516" s="49"/>
      <c r="F516" s="49"/>
      <c r="G516" s="49"/>
      <c r="H516" s="49"/>
    </row>
    <row r="517" spans="1:8">
      <c r="A517" s="44"/>
      <c r="B517" s="44"/>
      <c r="C517" s="49"/>
      <c r="D517" s="49"/>
      <c r="E517" s="49"/>
      <c r="F517" s="49"/>
      <c r="G517" s="49"/>
      <c r="H517" s="49"/>
    </row>
    <row r="518" spans="1:8">
      <c r="A518" s="44"/>
      <c r="B518" s="44"/>
      <c r="C518" s="49"/>
      <c r="D518" s="49"/>
      <c r="E518" s="49"/>
      <c r="F518" s="49"/>
      <c r="G518" s="49"/>
      <c r="H518" s="49"/>
    </row>
    <row r="519" spans="1:8">
      <c r="A519" s="44"/>
      <c r="B519" s="44"/>
      <c r="C519" s="49"/>
      <c r="D519" s="49"/>
      <c r="E519" s="49"/>
      <c r="F519" s="49"/>
      <c r="G519" s="49"/>
      <c r="H519" s="49"/>
    </row>
    <row r="520" spans="1:8">
      <c r="A520" s="44"/>
      <c r="B520" s="44"/>
      <c r="C520" s="49"/>
      <c r="D520" s="49"/>
      <c r="E520" s="49"/>
      <c r="F520" s="49"/>
      <c r="G520" s="49"/>
      <c r="H520" s="49"/>
    </row>
    <row r="521" spans="1:8">
      <c r="A521" s="44"/>
      <c r="B521" s="44"/>
      <c r="C521" s="49"/>
      <c r="D521" s="49"/>
      <c r="E521" s="49"/>
      <c r="F521" s="49"/>
      <c r="G521" s="49"/>
      <c r="H521" s="49"/>
    </row>
    <row r="522" spans="1:8">
      <c r="A522" s="44"/>
      <c r="B522" s="44"/>
      <c r="C522" s="49"/>
      <c r="D522" s="49"/>
      <c r="E522" s="49"/>
      <c r="F522" s="49"/>
      <c r="G522" s="49"/>
      <c r="H522" s="49"/>
    </row>
    <row r="523" spans="1:8">
      <c r="A523" s="44"/>
      <c r="B523" s="44"/>
      <c r="C523" s="49"/>
      <c r="D523" s="49"/>
      <c r="E523" s="49"/>
      <c r="F523" s="49"/>
      <c r="G523" s="49"/>
      <c r="H523" s="49"/>
    </row>
    <row r="524" spans="1:8">
      <c r="A524" s="44"/>
      <c r="B524" s="44"/>
      <c r="C524" s="49"/>
      <c r="D524" s="49"/>
      <c r="E524" s="49"/>
      <c r="F524" s="49"/>
      <c r="G524" s="49"/>
      <c r="H524" s="49"/>
    </row>
    <row r="525" spans="1:8">
      <c r="A525" s="44"/>
      <c r="B525" s="44"/>
      <c r="C525" s="49"/>
      <c r="D525" s="49"/>
      <c r="E525" s="49"/>
      <c r="F525" s="49"/>
      <c r="G525" s="49"/>
      <c r="H525" s="49"/>
    </row>
    <row r="526" spans="1:8">
      <c r="A526" s="44"/>
      <c r="B526" s="44"/>
      <c r="C526" s="49"/>
      <c r="D526" s="49"/>
      <c r="E526" s="49"/>
      <c r="F526" s="49"/>
      <c r="G526" s="49"/>
      <c r="H526" s="49"/>
    </row>
    <row r="527" spans="1:8">
      <c r="A527" s="44"/>
      <c r="B527" s="44"/>
      <c r="C527" s="49"/>
      <c r="D527" s="49"/>
      <c r="E527" s="49"/>
      <c r="F527" s="49"/>
      <c r="G527" s="49"/>
      <c r="H527" s="49"/>
    </row>
    <row r="528" spans="1:8">
      <c r="A528" s="44"/>
      <c r="B528" s="44"/>
      <c r="C528" s="49"/>
      <c r="D528" s="49"/>
      <c r="E528" s="49"/>
      <c r="F528" s="49"/>
      <c r="G528" s="49"/>
      <c r="H528" s="49"/>
    </row>
    <row r="529" spans="1:8">
      <c r="A529" s="44"/>
      <c r="B529" s="44"/>
      <c r="C529" s="49"/>
      <c r="D529" s="49"/>
      <c r="E529" s="49"/>
      <c r="F529" s="49"/>
      <c r="G529" s="49"/>
      <c r="H529" s="49"/>
    </row>
    <row r="530" spans="1:8">
      <c r="A530" s="44"/>
      <c r="B530" s="44"/>
      <c r="C530" s="49"/>
      <c r="D530" s="49"/>
      <c r="E530" s="49"/>
      <c r="F530" s="49"/>
      <c r="G530" s="49"/>
      <c r="H530" s="49"/>
    </row>
    <row r="531" spans="1:8">
      <c r="A531" s="44"/>
      <c r="B531" s="44"/>
      <c r="C531" s="49"/>
      <c r="D531" s="49"/>
      <c r="E531" s="49"/>
      <c r="F531" s="49"/>
      <c r="G531" s="49"/>
      <c r="H531" s="49"/>
    </row>
    <row r="532" spans="1:8">
      <c r="A532" s="44"/>
      <c r="B532" s="44"/>
      <c r="C532" s="49"/>
      <c r="D532" s="49"/>
      <c r="E532" s="49"/>
      <c r="F532" s="49"/>
      <c r="G532" s="49"/>
      <c r="H532" s="49"/>
    </row>
    <row r="533" spans="1:8">
      <c r="A533" s="44"/>
      <c r="B533" s="44"/>
      <c r="C533" s="49"/>
      <c r="D533" s="49"/>
      <c r="E533" s="49"/>
      <c r="F533" s="49"/>
      <c r="G533" s="49"/>
      <c r="H533" s="49"/>
    </row>
    <row r="534" spans="1:8">
      <c r="A534" s="44"/>
      <c r="B534" s="44"/>
      <c r="C534" s="49"/>
      <c r="D534" s="49"/>
      <c r="E534" s="49"/>
      <c r="F534" s="49"/>
      <c r="G534" s="49"/>
      <c r="H534" s="49"/>
    </row>
    <row r="535" spans="1:8">
      <c r="A535" s="44"/>
      <c r="B535" s="44"/>
      <c r="C535" s="49"/>
      <c r="D535" s="49"/>
      <c r="E535" s="49"/>
      <c r="F535" s="49"/>
      <c r="G535" s="49"/>
      <c r="H535" s="49"/>
    </row>
    <row r="536" spans="1:8">
      <c r="A536" s="44"/>
      <c r="B536" s="44"/>
      <c r="C536" s="49"/>
      <c r="D536" s="49"/>
      <c r="E536" s="49"/>
      <c r="F536" s="49"/>
      <c r="G536" s="49"/>
      <c r="H536" s="49"/>
    </row>
    <row r="537" spans="1:8">
      <c r="A537" s="44"/>
      <c r="B537" s="44"/>
      <c r="C537" s="49"/>
      <c r="D537" s="49"/>
      <c r="E537" s="49"/>
      <c r="F537" s="49"/>
      <c r="G537" s="49"/>
      <c r="H537" s="49"/>
    </row>
    <row r="538" spans="1:8">
      <c r="A538" s="44"/>
      <c r="B538" s="44"/>
      <c r="C538" s="49"/>
      <c r="D538" s="49"/>
      <c r="E538" s="49"/>
      <c r="F538" s="49"/>
      <c r="G538" s="49"/>
      <c r="H538" s="49"/>
    </row>
    <row r="539" spans="1:8">
      <c r="A539" s="44"/>
      <c r="B539" s="44"/>
      <c r="C539" s="49"/>
      <c r="D539" s="49"/>
      <c r="E539" s="49"/>
      <c r="F539" s="49"/>
      <c r="G539" s="49"/>
      <c r="H539" s="49"/>
    </row>
    <row r="540" spans="1:8">
      <c r="A540" s="44"/>
      <c r="B540" s="44"/>
      <c r="C540" s="49"/>
      <c r="D540" s="49"/>
      <c r="E540" s="49"/>
      <c r="F540" s="49"/>
      <c r="G540" s="49"/>
      <c r="H540" s="49"/>
    </row>
    <row r="541" spans="1:8">
      <c r="A541" s="44"/>
      <c r="B541" s="44"/>
      <c r="C541" s="49"/>
      <c r="D541" s="49"/>
      <c r="E541" s="49"/>
      <c r="F541" s="49"/>
      <c r="G541" s="49"/>
      <c r="H541" s="49"/>
    </row>
    <row r="542" spans="1:8">
      <c r="A542" s="44"/>
      <c r="B542" s="44"/>
      <c r="C542" s="49"/>
      <c r="D542" s="49"/>
      <c r="E542" s="49"/>
      <c r="F542" s="49"/>
      <c r="G542" s="49"/>
      <c r="H542" s="49"/>
    </row>
    <row r="543" spans="1:8">
      <c r="A543" s="44"/>
      <c r="B543" s="44"/>
      <c r="C543" s="49"/>
      <c r="D543" s="49"/>
      <c r="E543" s="49"/>
      <c r="F543" s="49"/>
      <c r="G543" s="49"/>
      <c r="H543" s="49"/>
    </row>
    <row r="544" spans="1:8">
      <c r="A544" s="44"/>
      <c r="B544" s="44"/>
      <c r="C544" s="49"/>
      <c r="D544" s="49"/>
      <c r="E544" s="49"/>
      <c r="F544" s="49"/>
      <c r="G544" s="49"/>
      <c r="H544" s="49"/>
    </row>
    <row r="545" spans="1:8">
      <c r="A545" s="44"/>
      <c r="B545" s="44"/>
      <c r="C545" s="49"/>
      <c r="D545" s="49"/>
      <c r="E545" s="49"/>
      <c r="F545" s="49"/>
      <c r="G545" s="49"/>
      <c r="H545" s="49"/>
    </row>
    <row r="546" spans="1:8">
      <c r="A546" s="44"/>
      <c r="B546" s="44"/>
      <c r="C546" s="49"/>
      <c r="D546" s="49"/>
      <c r="E546" s="49"/>
      <c r="F546" s="49"/>
      <c r="G546" s="49"/>
      <c r="H546" s="49"/>
    </row>
    <row r="547" spans="1:8">
      <c r="A547" s="44"/>
      <c r="B547" s="44"/>
      <c r="C547" s="49"/>
      <c r="D547" s="49"/>
      <c r="E547" s="49"/>
      <c r="F547" s="49"/>
      <c r="G547" s="49"/>
      <c r="H547" s="49"/>
    </row>
    <row r="548" spans="1:8">
      <c r="A548" s="44"/>
      <c r="B548" s="44"/>
      <c r="C548" s="49"/>
      <c r="D548" s="49"/>
      <c r="E548" s="49"/>
      <c r="F548" s="49"/>
      <c r="G548" s="49"/>
      <c r="H548" s="49"/>
    </row>
    <row r="549" spans="1:8">
      <c r="A549" s="44"/>
      <c r="B549" s="44"/>
      <c r="C549" s="49"/>
      <c r="D549" s="49"/>
      <c r="E549" s="49"/>
      <c r="F549" s="49"/>
      <c r="G549" s="49"/>
      <c r="H549" s="49"/>
    </row>
    <row r="550" spans="1:8">
      <c r="A550" s="44"/>
      <c r="B550" s="44"/>
      <c r="C550" s="49"/>
      <c r="D550" s="49"/>
      <c r="E550" s="49"/>
      <c r="F550" s="49"/>
      <c r="G550" s="49"/>
      <c r="H550" s="49"/>
    </row>
    <row r="551" spans="1:8">
      <c r="A551" s="44"/>
      <c r="B551" s="44"/>
      <c r="C551" s="49"/>
      <c r="D551" s="49"/>
      <c r="E551" s="49"/>
      <c r="F551" s="49"/>
      <c r="G551" s="49"/>
      <c r="H551" s="49"/>
    </row>
    <row r="552" spans="1:8">
      <c r="A552" s="44"/>
      <c r="B552" s="44"/>
      <c r="C552" s="49"/>
      <c r="D552" s="49"/>
      <c r="E552" s="49"/>
      <c r="F552" s="49"/>
      <c r="G552" s="49"/>
      <c r="H552" s="49"/>
    </row>
    <row r="553" spans="1:8">
      <c r="A553" s="44"/>
      <c r="B553" s="44"/>
      <c r="C553" s="49"/>
      <c r="D553" s="49"/>
      <c r="E553" s="49"/>
      <c r="F553" s="49"/>
      <c r="G553" s="49"/>
      <c r="H553" s="49"/>
    </row>
    <row r="554" spans="1:8">
      <c r="A554" s="44"/>
      <c r="B554" s="44"/>
      <c r="C554" s="49"/>
      <c r="D554" s="49"/>
      <c r="E554" s="49"/>
      <c r="F554" s="49"/>
      <c r="G554" s="49"/>
      <c r="H554" s="49"/>
    </row>
    <row r="555" spans="1:8">
      <c r="A555" s="44"/>
      <c r="B555" s="44"/>
      <c r="C555" s="49"/>
      <c r="D555" s="49"/>
      <c r="E555" s="49"/>
      <c r="F555" s="49"/>
      <c r="G555" s="49"/>
      <c r="H555" s="49"/>
    </row>
    <row r="556" spans="1:8">
      <c r="A556" s="44"/>
      <c r="B556" s="44"/>
      <c r="C556" s="49"/>
      <c r="D556" s="49"/>
      <c r="E556" s="49"/>
      <c r="F556" s="49"/>
      <c r="G556" s="49"/>
      <c r="H556" s="49"/>
    </row>
    <row r="557" spans="1:8">
      <c r="A557" s="44"/>
      <c r="B557" s="44"/>
      <c r="C557" s="49"/>
      <c r="D557" s="49"/>
      <c r="E557" s="49"/>
      <c r="F557" s="49"/>
      <c r="G557" s="49"/>
      <c r="H557" s="49"/>
    </row>
    <row r="558" spans="1:8">
      <c r="A558" s="44"/>
      <c r="B558" s="44"/>
      <c r="C558" s="49"/>
      <c r="D558" s="49"/>
      <c r="E558" s="49"/>
      <c r="F558" s="49"/>
      <c r="G558" s="49"/>
      <c r="H558" s="49"/>
    </row>
    <row r="559" spans="1:8">
      <c r="A559" s="44"/>
      <c r="B559" s="44"/>
      <c r="C559" s="49"/>
      <c r="D559" s="49"/>
      <c r="E559" s="49"/>
      <c r="F559" s="49"/>
      <c r="G559" s="49"/>
      <c r="H559" s="49"/>
    </row>
    <row r="560" spans="1:8">
      <c r="A560" s="44"/>
      <c r="B560" s="44"/>
      <c r="C560" s="49"/>
      <c r="D560" s="49"/>
      <c r="E560" s="49"/>
      <c r="F560" s="49"/>
      <c r="G560" s="49"/>
      <c r="H560" s="49"/>
    </row>
    <row r="561" spans="1:8">
      <c r="A561" s="44"/>
      <c r="B561" s="44"/>
      <c r="C561" s="49"/>
      <c r="D561" s="49"/>
      <c r="E561" s="49"/>
      <c r="F561" s="49"/>
      <c r="G561" s="49"/>
      <c r="H561" s="49"/>
    </row>
    <row r="562" spans="1:8">
      <c r="A562" s="44"/>
      <c r="B562" s="44"/>
      <c r="C562" s="49"/>
      <c r="D562" s="49"/>
      <c r="E562" s="49"/>
      <c r="F562" s="49"/>
      <c r="G562" s="49"/>
      <c r="H562" s="49"/>
    </row>
    <row r="563" spans="1:8">
      <c r="A563" s="44"/>
      <c r="B563" s="44"/>
      <c r="C563" s="49"/>
      <c r="D563" s="49"/>
      <c r="E563" s="49"/>
      <c r="F563" s="49"/>
      <c r="G563" s="49"/>
      <c r="H563" s="49"/>
    </row>
    <row r="564" spans="1:8">
      <c r="A564" s="44"/>
      <c r="B564" s="44"/>
      <c r="C564" s="49"/>
      <c r="D564" s="49"/>
      <c r="E564" s="49"/>
      <c r="F564" s="49"/>
      <c r="G564" s="49"/>
      <c r="H564" s="49"/>
    </row>
    <row r="565" spans="1:8">
      <c r="A565" s="44"/>
      <c r="B565" s="44"/>
      <c r="C565" s="49"/>
      <c r="D565" s="49"/>
      <c r="E565" s="49"/>
      <c r="F565" s="49"/>
      <c r="G565" s="49"/>
      <c r="H565" s="49"/>
    </row>
    <row r="566" spans="1:8">
      <c r="A566" s="44"/>
      <c r="B566" s="44"/>
      <c r="C566" s="49"/>
      <c r="D566" s="49"/>
      <c r="E566" s="49"/>
      <c r="F566" s="49"/>
      <c r="G566" s="49"/>
      <c r="H566" s="49"/>
    </row>
    <row r="567" spans="1:8">
      <c r="A567" s="44"/>
      <c r="B567" s="44"/>
      <c r="C567" s="49"/>
      <c r="D567" s="49"/>
      <c r="E567" s="49"/>
      <c r="F567" s="49"/>
      <c r="G567" s="49"/>
      <c r="H567" s="49"/>
    </row>
    <row r="568" spans="1:8">
      <c r="A568" s="44"/>
      <c r="B568" s="44"/>
      <c r="C568" s="49"/>
      <c r="D568" s="49"/>
      <c r="E568" s="49"/>
      <c r="F568" s="49"/>
      <c r="G568" s="49"/>
      <c r="H568" s="49"/>
    </row>
    <row r="569" spans="1:8">
      <c r="A569" s="44"/>
      <c r="B569" s="44"/>
      <c r="C569" s="49"/>
      <c r="D569" s="49"/>
      <c r="E569" s="49"/>
      <c r="F569" s="49"/>
      <c r="G569" s="49"/>
      <c r="H569" s="49"/>
    </row>
    <row r="570" spans="1:8">
      <c r="A570" s="44"/>
      <c r="B570" s="44"/>
      <c r="C570" s="49"/>
      <c r="D570" s="49"/>
      <c r="E570" s="49"/>
      <c r="F570" s="49"/>
      <c r="G570" s="49"/>
      <c r="H570" s="49"/>
    </row>
    <row r="571" spans="1:8">
      <c r="A571" s="44"/>
      <c r="B571" s="44"/>
      <c r="C571" s="49"/>
      <c r="D571" s="49"/>
      <c r="E571" s="49"/>
      <c r="F571" s="49"/>
      <c r="G571" s="49"/>
      <c r="H571" s="49"/>
    </row>
    <row r="572" spans="1:8">
      <c r="A572" s="44"/>
      <c r="B572" s="44"/>
      <c r="C572" s="49"/>
      <c r="D572" s="49"/>
      <c r="E572" s="49"/>
      <c r="F572" s="49"/>
      <c r="G572" s="49"/>
      <c r="H572" s="49"/>
    </row>
    <row r="573" spans="1:8">
      <c r="A573" s="44"/>
      <c r="B573" s="44"/>
      <c r="C573" s="49"/>
      <c r="D573" s="49"/>
      <c r="E573" s="49"/>
      <c r="F573" s="49"/>
      <c r="G573" s="49"/>
      <c r="H573" s="49"/>
    </row>
    <row r="574" spans="1:8">
      <c r="A574" s="44"/>
      <c r="B574" s="44"/>
      <c r="C574" s="49"/>
      <c r="D574" s="49"/>
      <c r="E574" s="49"/>
      <c r="F574" s="49"/>
      <c r="G574" s="49"/>
      <c r="H574" s="49"/>
    </row>
    <row r="575" spans="1:8">
      <c r="A575" s="44"/>
      <c r="B575" s="44"/>
      <c r="C575" s="49"/>
      <c r="D575" s="49"/>
      <c r="E575" s="49"/>
      <c r="F575" s="49"/>
      <c r="G575" s="49"/>
      <c r="H575" s="49"/>
    </row>
    <row r="576" spans="1:8">
      <c r="A576" s="44"/>
      <c r="B576" s="44"/>
      <c r="C576" s="49"/>
      <c r="D576" s="49"/>
      <c r="E576" s="49"/>
      <c r="F576" s="49"/>
      <c r="G576" s="49"/>
      <c r="H576" s="49"/>
    </row>
    <row r="577" spans="1:8">
      <c r="A577" s="44"/>
      <c r="B577" s="44"/>
      <c r="C577" s="49"/>
      <c r="D577" s="49"/>
      <c r="E577" s="49"/>
      <c r="F577" s="49"/>
      <c r="G577" s="49"/>
      <c r="H577" s="49"/>
    </row>
    <row r="578" spans="1:8">
      <c r="A578" s="44"/>
      <c r="B578" s="44"/>
      <c r="C578" s="49"/>
      <c r="D578" s="49"/>
      <c r="E578" s="49"/>
      <c r="F578" s="49"/>
      <c r="G578" s="49"/>
      <c r="H578" s="49"/>
    </row>
    <row r="579" spans="1:8">
      <c r="A579" s="44"/>
      <c r="B579" s="44"/>
      <c r="C579" s="49"/>
      <c r="D579" s="49"/>
      <c r="E579" s="49"/>
      <c r="F579" s="49"/>
      <c r="G579" s="49"/>
      <c r="H579" s="49"/>
    </row>
    <row r="580" spans="1:8">
      <c r="A580" s="44"/>
      <c r="B580" s="44"/>
      <c r="C580" s="49"/>
      <c r="D580" s="49"/>
      <c r="E580" s="49"/>
      <c r="F580" s="49"/>
      <c r="G580" s="49"/>
      <c r="H580" s="49"/>
    </row>
    <row r="581" spans="1:8">
      <c r="A581" s="44"/>
      <c r="B581" s="44"/>
      <c r="C581" s="49"/>
      <c r="D581" s="49"/>
      <c r="E581" s="49"/>
      <c r="F581" s="49"/>
      <c r="G581" s="49"/>
      <c r="H581" s="49"/>
    </row>
    <row r="582" spans="1:8">
      <c r="A582" s="44"/>
      <c r="B582" s="44"/>
      <c r="C582" s="49"/>
      <c r="D582" s="49"/>
      <c r="E582" s="49"/>
      <c r="F582" s="49"/>
      <c r="G582" s="49"/>
      <c r="H582" s="49"/>
    </row>
    <row r="583" spans="1:8">
      <c r="A583" s="44"/>
      <c r="B583" s="44"/>
      <c r="C583" s="49"/>
      <c r="D583" s="49"/>
      <c r="E583" s="49"/>
      <c r="F583" s="49"/>
      <c r="G583" s="49"/>
      <c r="H583" s="49"/>
    </row>
    <row r="584" spans="1:8">
      <c r="A584" s="44"/>
      <c r="B584" s="44"/>
      <c r="C584" s="49"/>
      <c r="D584" s="49"/>
      <c r="E584" s="49"/>
      <c r="F584" s="49"/>
      <c r="G584" s="49"/>
      <c r="H584" s="49"/>
    </row>
    <row r="585" spans="1:8">
      <c r="A585" s="44"/>
      <c r="B585" s="44"/>
      <c r="C585" s="49"/>
      <c r="D585" s="49"/>
      <c r="E585" s="49"/>
      <c r="F585" s="49"/>
      <c r="G585" s="49"/>
      <c r="H585" s="49"/>
    </row>
    <row r="586" spans="1:8">
      <c r="A586" s="44"/>
      <c r="B586" s="44"/>
      <c r="C586" s="49"/>
      <c r="D586" s="49"/>
      <c r="E586" s="49"/>
      <c r="F586" s="49"/>
      <c r="G586" s="49"/>
      <c r="H586" s="49"/>
    </row>
    <row r="587" spans="1:8">
      <c r="A587" s="44"/>
      <c r="B587" s="44"/>
      <c r="C587" s="49"/>
      <c r="D587" s="49"/>
      <c r="E587" s="49"/>
      <c r="F587" s="49"/>
      <c r="G587" s="49"/>
      <c r="H587" s="49"/>
    </row>
    <row r="588" spans="1:8">
      <c r="A588" s="44"/>
      <c r="B588" s="44"/>
      <c r="C588" s="49"/>
      <c r="D588" s="49"/>
      <c r="E588" s="49"/>
      <c r="F588" s="49"/>
      <c r="G588" s="49"/>
      <c r="H588" s="49"/>
    </row>
    <row r="589" spans="1:8">
      <c r="A589" s="44"/>
      <c r="B589" s="44"/>
      <c r="C589" s="49"/>
      <c r="D589" s="49"/>
      <c r="E589" s="49"/>
      <c r="F589" s="49"/>
      <c r="G589" s="49"/>
      <c r="H589" s="49"/>
    </row>
    <row r="590" spans="1:8">
      <c r="A590" s="44"/>
      <c r="B590" s="44"/>
      <c r="C590" s="49"/>
      <c r="D590" s="49"/>
      <c r="E590" s="49"/>
      <c r="F590" s="49"/>
      <c r="G590" s="49"/>
      <c r="H590" s="49"/>
    </row>
    <row r="591" spans="1:8">
      <c r="A591" s="44"/>
      <c r="B591" s="44"/>
      <c r="C591" s="49"/>
      <c r="D591" s="49"/>
      <c r="E591" s="49"/>
      <c r="F591" s="49"/>
      <c r="G591" s="49"/>
      <c r="H591" s="49"/>
    </row>
    <row r="592" spans="1:8">
      <c r="A592" s="44"/>
      <c r="B592" s="44"/>
      <c r="C592" s="49"/>
      <c r="D592" s="49"/>
      <c r="E592" s="49"/>
      <c r="F592" s="49"/>
      <c r="G592" s="49"/>
      <c r="H592" s="49"/>
    </row>
    <row r="593" spans="1:8">
      <c r="A593" s="44"/>
      <c r="B593" s="44"/>
      <c r="C593" s="49"/>
      <c r="D593" s="49"/>
      <c r="E593" s="49"/>
      <c r="F593" s="49"/>
      <c r="G593" s="49"/>
      <c r="H593" s="49"/>
    </row>
    <row r="594" spans="1:8">
      <c r="A594" s="44"/>
      <c r="B594" s="44"/>
      <c r="C594" s="49"/>
      <c r="D594" s="49"/>
      <c r="E594" s="49"/>
      <c r="F594" s="49"/>
      <c r="G594" s="49"/>
      <c r="H594" s="49"/>
    </row>
    <row r="595" spans="1:8">
      <c r="A595" s="44"/>
      <c r="B595" s="44"/>
      <c r="C595" s="49"/>
      <c r="D595" s="49"/>
      <c r="E595" s="49"/>
      <c r="F595" s="49"/>
      <c r="G595" s="49"/>
      <c r="H595" s="49"/>
    </row>
    <row r="596" spans="1:8">
      <c r="A596" s="44"/>
      <c r="B596" s="44"/>
      <c r="C596" s="49"/>
      <c r="D596" s="49"/>
      <c r="E596" s="49"/>
      <c r="F596" s="49"/>
      <c r="G596" s="49"/>
      <c r="H596" s="49"/>
    </row>
    <row r="597" spans="1:8">
      <c r="A597" s="44"/>
      <c r="B597" s="44"/>
      <c r="C597" s="49"/>
      <c r="D597" s="49"/>
      <c r="E597" s="49"/>
      <c r="F597" s="49"/>
      <c r="G597" s="49"/>
      <c r="H597" s="49"/>
    </row>
    <row r="598" spans="1:8">
      <c r="A598" s="44"/>
      <c r="B598" s="44"/>
      <c r="C598" s="49"/>
      <c r="D598" s="49"/>
      <c r="E598" s="49"/>
      <c r="F598" s="49"/>
      <c r="G598" s="49"/>
      <c r="H598" s="49"/>
    </row>
    <row r="599" spans="1:8">
      <c r="A599" s="44"/>
      <c r="B599" s="44"/>
      <c r="C599" s="49"/>
      <c r="D599" s="49"/>
      <c r="E599" s="49"/>
      <c r="F599" s="49"/>
      <c r="G599" s="49"/>
      <c r="H599" s="49"/>
    </row>
    <row r="600" spans="1:8">
      <c r="A600" s="44"/>
      <c r="B600" s="44"/>
      <c r="C600" s="49"/>
      <c r="D600" s="49"/>
      <c r="E600" s="49"/>
      <c r="F600" s="49"/>
      <c r="G600" s="49"/>
      <c r="H600" s="49"/>
    </row>
    <row r="601" spans="1:8">
      <c r="A601" s="44"/>
      <c r="B601" s="44"/>
      <c r="C601" s="49"/>
      <c r="D601" s="49"/>
      <c r="E601" s="49"/>
      <c r="F601" s="49"/>
      <c r="G601" s="49"/>
      <c r="H601" s="49"/>
    </row>
    <row r="602" spans="1:8">
      <c r="A602" s="44"/>
      <c r="B602" s="44"/>
      <c r="C602" s="49"/>
      <c r="D602" s="49"/>
      <c r="E602" s="49"/>
      <c r="F602" s="49"/>
      <c r="G602" s="49"/>
      <c r="H602" s="49"/>
    </row>
    <row r="603" spans="1:8">
      <c r="A603" s="44"/>
      <c r="B603" s="44"/>
      <c r="C603" s="49"/>
      <c r="D603" s="49"/>
      <c r="E603" s="49"/>
      <c r="F603" s="49"/>
      <c r="G603" s="49"/>
      <c r="H603" s="49"/>
    </row>
    <row r="604" spans="1:8">
      <c r="A604" s="44"/>
      <c r="B604" s="44"/>
      <c r="C604" s="49"/>
      <c r="D604" s="49"/>
      <c r="E604" s="49"/>
      <c r="F604" s="49"/>
      <c r="G604" s="49"/>
      <c r="H604" s="49"/>
    </row>
    <row r="605" spans="1:8">
      <c r="A605" s="44"/>
      <c r="B605" s="44"/>
      <c r="C605" s="49"/>
      <c r="D605" s="49"/>
      <c r="E605" s="49"/>
      <c r="F605" s="49"/>
      <c r="G605" s="49"/>
      <c r="H605" s="49"/>
    </row>
    <row r="606" spans="1:8">
      <c r="A606" s="44"/>
      <c r="B606" s="44"/>
      <c r="C606" s="49"/>
      <c r="D606" s="49"/>
      <c r="E606" s="49"/>
      <c r="F606" s="49"/>
      <c r="G606" s="49"/>
      <c r="H606" s="49"/>
    </row>
    <row r="607" spans="1:8">
      <c r="A607" s="44"/>
      <c r="B607" s="44"/>
      <c r="C607" s="49"/>
      <c r="D607" s="49"/>
      <c r="E607" s="49"/>
      <c r="F607" s="49"/>
      <c r="G607" s="49"/>
      <c r="H607" s="49"/>
    </row>
    <row r="608" spans="1:8">
      <c r="A608" s="44"/>
      <c r="B608" s="44"/>
      <c r="C608" s="49"/>
      <c r="D608" s="49"/>
      <c r="E608" s="49"/>
      <c r="F608" s="49"/>
      <c r="G608" s="49"/>
      <c r="H608" s="49"/>
    </row>
    <row r="609" spans="1:8">
      <c r="A609" s="44"/>
      <c r="B609" s="44"/>
      <c r="C609" s="49"/>
      <c r="D609" s="49"/>
      <c r="E609" s="49"/>
      <c r="F609" s="49"/>
      <c r="G609" s="49"/>
      <c r="H609" s="49"/>
    </row>
    <row r="610" spans="1:8">
      <c r="A610" s="44"/>
      <c r="B610" s="44"/>
      <c r="C610" s="49"/>
      <c r="D610" s="49"/>
      <c r="E610" s="49"/>
      <c r="F610" s="49"/>
      <c r="G610" s="49"/>
      <c r="H610" s="49"/>
    </row>
    <row r="611" spans="1:8">
      <c r="A611" s="44"/>
      <c r="B611" s="44"/>
      <c r="C611" s="49"/>
      <c r="D611" s="49"/>
      <c r="E611" s="49"/>
      <c r="F611" s="49"/>
      <c r="G611" s="49"/>
      <c r="H611" s="49"/>
    </row>
    <row r="612" spans="1:8">
      <c r="A612" s="44"/>
      <c r="B612" s="44"/>
      <c r="C612" s="49"/>
      <c r="D612" s="49"/>
      <c r="E612" s="49"/>
      <c r="F612" s="49"/>
      <c r="G612" s="49"/>
      <c r="H612" s="49"/>
    </row>
    <row r="613" spans="1:8">
      <c r="A613" s="44"/>
      <c r="B613" s="44"/>
      <c r="C613" s="49"/>
      <c r="D613" s="49"/>
      <c r="E613" s="49"/>
      <c r="F613" s="49"/>
      <c r="G613" s="49"/>
      <c r="H613" s="49"/>
    </row>
    <row r="614" spans="1:8">
      <c r="A614" s="44"/>
      <c r="B614" s="44"/>
      <c r="C614" s="49"/>
      <c r="D614" s="49"/>
      <c r="E614" s="49"/>
      <c r="F614" s="49"/>
      <c r="G614" s="49"/>
      <c r="H614" s="49"/>
    </row>
    <row r="615" spans="1:8">
      <c r="A615" s="44"/>
      <c r="B615" s="44"/>
      <c r="C615" s="49"/>
      <c r="D615" s="49"/>
      <c r="E615" s="49"/>
      <c r="F615" s="49"/>
      <c r="G615" s="49"/>
      <c r="H615" s="49"/>
    </row>
    <row r="616" spans="1:8">
      <c r="A616" s="44"/>
      <c r="B616" s="44"/>
      <c r="C616" s="49"/>
      <c r="D616" s="49"/>
      <c r="E616" s="49"/>
      <c r="F616" s="49"/>
      <c r="G616" s="49"/>
      <c r="H616" s="49"/>
    </row>
    <row r="617" spans="1:8">
      <c r="A617" s="44"/>
      <c r="B617" s="44"/>
      <c r="C617" s="49"/>
      <c r="D617" s="49"/>
      <c r="E617" s="49"/>
      <c r="F617" s="49"/>
      <c r="G617" s="49"/>
      <c r="H617" s="49"/>
    </row>
    <row r="618" spans="1:8">
      <c r="A618" s="44"/>
      <c r="B618" s="44"/>
      <c r="C618" s="49"/>
      <c r="D618" s="49"/>
      <c r="E618" s="49"/>
      <c r="F618" s="49"/>
      <c r="G618" s="49"/>
      <c r="H618" s="49"/>
    </row>
    <row r="619" spans="1:8">
      <c r="A619" s="44"/>
      <c r="B619" s="44"/>
      <c r="C619" s="49"/>
      <c r="D619" s="49"/>
      <c r="E619" s="49"/>
      <c r="F619" s="49"/>
      <c r="G619" s="49"/>
      <c r="H619" s="49"/>
    </row>
    <row r="620" spans="1:8">
      <c r="A620" s="44"/>
      <c r="B620" s="44"/>
      <c r="C620" s="49"/>
      <c r="D620" s="49"/>
      <c r="E620" s="49"/>
      <c r="F620" s="49"/>
      <c r="G620" s="49"/>
      <c r="H620" s="49"/>
    </row>
    <row r="621" spans="1:8">
      <c r="A621" s="44"/>
      <c r="B621" s="44"/>
      <c r="C621" s="49"/>
      <c r="D621" s="49"/>
      <c r="E621" s="49"/>
      <c r="F621" s="49"/>
      <c r="G621" s="49"/>
      <c r="H621" s="49"/>
    </row>
    <row r="622" spans="1:8">
      <c r="A622" s="44"/>
      <c r="B622" s="44"/>
      <c r="C622" s="49"/>
      <c r="D622" s="49"/>
      <c r="E622" s="49"/>
      <c r="F622" s="49"/>
      <c r="G622" s="49"/>
      <c r="H622" s="49"/>
    </row>
    <row r="623" spans="1:8">
      <c r="A623" s="44"/>
      <c r="B623" s="44"/>
      <c r="C623" s="49"/>
      <c r="D623" s="49"/>
      <c r="E623" s="49"/>
      <c r="F623" s="49"/>
      <c r="G623" s="49"/>
      <c r="H623" s="49"/>
    </row>
    <row r="624" spans="1:8">
      <c r="A624" s="44"/>
      <c r="B624" s="44"/>
      <c r="C624" s="49"/>
      <c r="D624" s="49"/>
      <c r="E624" s="49"/>
      <c r="F624" s="49"/>
      <c r="G624" s="49"/>
      <c r="H624" s="49"/>
    </row>
    <row r="625" spans="1:8">
      <c r="A625" s="44"/>
      <c r="B625" s="44"/>
      <c r="C625" s="49"/>
      <c r="D625" s="49"/>
      <c r="E625" s="49"/>
      <c r="F625" s="49"/>
      <c r="G625" s="49"/>
      <c r="H625" s="49"/>
    </row>
    <row r="626" spans="1:8">
      <c r="A626" s="44"/>
      <c r="B626" s="44"/>
      <c r="C626" s="49"/>
      <c r="D626" s="49"/>
      <c r="E626" s="49"/>
      <c r="F626" s="49"/>
      <c r="G626" s="49"/>
      <c r="H626" s="49"/>
    </row>
    <row r="627" spans="1:8">
      <c r="A627" s="44"/>
      <c r="B627" s="44"/>
      <c r="C627" s="49"/>
      <c r="D627" s="49"/>
      <c r="E627" s="49"/>
      <c r="F627" s="49"/>
      <c r="G627" s="49"/>
      <c r="H627" s="49"/>
    </row>
    <row r="628" spans="1:8">
      <c r="A628" s="44"/>
      <c r="B628" s="44"/>
      <c r="C628" s="49"/>
      <c r="D628" s="49"/>
      <c r="E628" s="49"/>
      <c r="F628" s="49"/>
      <c r="G628" s="49"/>
      <c r="H628" s="49"/>
    </row>
    <row r="629" spans="1:8">
      <c r="A629" s="44"/>
      <c r="B629" s="44"/>
      <c r="C629" s="49"/>
      <c r="D629" s="49"/>
      <c r="E629" s="49"/>
      <c r="F629" s="49"/>
      <c r="G629" s="49"/>
      <c r="H629" s="49"/>
    </row>
    <row r="630" spans="1:8">
      <c r="A630" s="44"/>
      <c r="B630" s="44"/>
      <c r="C630" s="49"/>
      <c r="D630" s="49"/>
      <c r="E630" s="49"/>
      <c r="F630" s="49"/>
      <c r="G630" s="49"/>
      <c r="H630" s="49"/>
    </row>
    <row r="631" spans="1:8">
      <c r="A631" s="44"/>
      <c r="B631" s="44"/>
      <c r="C631" s="49"/>
      <c r="D631" s="49"/>
      <c r="E631" s="49"/>
      <c r="F631" s="49"/>
      <c r="G631" s="49"/>
      <c r="H631" s="49"/>
    </row>
    <row r="632" spans="1:8">
      <c r="A632" s="44"/>
      <c r="B632" s="44"/>
      <c r="C632" s="49"/>
      <c r="D632" s="49"/>
      <c r="E632" s="49"/>
      <c r="F632" s="49"/>
      <c r="G632" s="49"/>
      <c r="H632" s="49"/>
    </row>
    <row r="633" spans="1:8">
      <c r="A633" s="44"/>
      <c r="B633" s="44"/>
      <c r="C633" s="49"/>
      <c r="D633" s="49"/>
      <c r="E633" s="49"/>
      <c r="F633" s="49"/>
      <c r="G633" s="49"/>
      <c r="H633" s="49"/>
    </row>
    <row r="634" spans="1:8">
      <c r="A634" s="44"/>
      <c r="B634" s="44"/>
      <c r="C634" s="49"/>
      <c r="D634" s="49"/>
      <c r="E634" s="49"/>
      <c r="F634" s="49"/>
      <c r="G634" s="49"/>
      <c r="H634" s="49"/>
    </row>
    <row r="635" spans="1:8">
      <c r="A635" s="44"/>
      <c r="B635" s="44"/>
      <c r="C635" s="49"/>
      <c r="D635" s="49"/>
      <c r="E635" s="49"/>
      <c r="F635" s="49"/>
      <c r="G635" s="49"/>
      <c r="H635" s="49"/>
    </row>
    <row r="636" spans="1:8">
      <c r="A636" s="44"/>
      <c r="B636" s="44"/>
      <c r="C636" s="49"/>
      <c r="D636" s="49"/>
      <c r="E636" s="49"/>
      <c r="F636" s="49"/>
      <c r="G636" s="49"/>
      <c r="H636" s="49"/>
    </row>
    <row r="637" spans="1:8">
      <c r="A637" s="44"/>
      <c r="B637" s="44"/>
      <c r="C637" s="49"/>
      <c r="D637" s="49"/>
      <c r="E637" s="49"/>
      <c r="F637" s="49"/>
      <c r="G637" s="49"/>
      <c r="H637" s="49"/>
    </row>
    <row r="638" spans="1:8">
      <c r="A638" s="44"/>
      <c r="B638" s="44"/>
      <c r="C638" s="49"/>
      <c r="D638" s="49"/>
      <c r="E638" s="49"/>
      <c r="F638" s="49"/>
      <c r="G638" s="49"/>
      <c r="H638" s="49"/>
    </row>
    <row r="639" spans="1:8">
      <c r="A639" s="44"/>
      <c r="B639" s="44"/>
      <c r="C639" s="49"/>
      <c r="D639" s="49"/>
      <c r="E639" s="49"/>
      <c r="F639" s="49"/>
      <c r="G639" s="49"/>
      <c r="H639" s="49"/>
    </row>
    <row r="640" spans="1:8">
      <c r="A640" s="44"/>
      <c r="B640" s="44"/>
      <c r="C640" s="49"/>
      <c r="D640" s="49"/>
      <c r="E640" s="49"/>
      <c r="F640" s="49"/>
      <c r="G640" s="49"/>
      <c r="H640" s="49"/>
    </row>
    <row r="641" spans="1:8">
      <c r="A641" s="44"/>
      <c r="B641" s="44"/>
      <c r="C641" s="49"/>
      <c r="D641" s="49"/>
      <c r="E641" s="49"/>
      <c r="F641" s="49"/>
      <c r="G641" s="49"/>
      <c r="H641" s="49"/>
    </row>
    <row r="642" spans="1:8">
      <c r="A642" s="44"/>
      <c r="B642" s="44"/>
      <c r="C642" s="49"/>
      <c r="D642" s="49"/>
      <c r="E642" s="49"/>
      <c r="F642" s="49"/>
      <c r="G642" s="49"/>
      <c r="H642" s="49"/>
    </row>
    <row r="643" spans="1:8">
      <c r="A643" s="44"/>
      <c r="B643" s="44"/>
      <c r="C643" s="49"/>
      <c r="D643" s="49"/>
      <c r="E643" s="49"/>
      <c r="F643" s="49"/>
      <c r="G643" s="49"/>
      <c r="H643" s="49"/>
    </row>
    <row r="644" spans="1:8">
      <c r="A644" s="44"/>
      <c r="B644" s="44"/>
      <c r="C644" s="49"/>
      <c r="D644" s="49"/>
      <c r="E644" s="49"/>
      <c r="F644" s="49"/>
      <c r="G644" s="49"/>
      <c r="H644" s="49"/>
    </row>
    <row r="645" spans="1:8">
      <c r="A645" s="44"/>
      <c r="B645" s="44"/>
      <c r="C645" s="49"/>
      <c r="D645" s="49"/>
      <c r="E645" s="49"/>
      <c r="F645" s="49"/>
      <c r="G645" s="49"/>
      <c r="H645" s="49"/>
    </row>
    <row r="646" spans="1:8">
      <c r="A646" s="44"/>
      <c r="B646" s="44"/>
      <c r="C646" s="49"/>
      <c r="D646" s="49"/>
      <c r="E646" s="49"/>
      <c r="F646" s="49"/>
      <c r="G646" s="49"/>
      <c r="H646" s="49"/>
    </row>
    <row r="647" spans="1:8">
      <c r="A647" s="44"/>
      <c r="B647" s="44"/>
      <c r="C647" s="49"/>
      <c r="D647" s="49"/>
      <c r="E647" s="49"/>
      <c r="F647" s="49"/>
      <c r="G647" s="49"/>
      <c r="H647" s="49"/>
    </row>
    <row r="648" spans="1:8">
      <c r="A648" s="44"/>
      <c r="B648" s="44"/>
      <c r="C648" s="49"/>
      <c r="D648" s="49"/>
      <c r="E648" s="49"/>
      <c r="F648" s="49"/>
      <c r="G648" s="49"/>
      <c r="H648" s="49"/>
    </row>
    <row r="649" spans="1:8">
      <c r="A649" s="44"/>
      <c r="B649" s="44"/>
      <c r="C649" s="49"/>
      <c r="D649" s="49"/>
      <c r="E649" s="49"/>
      <c r="F649" s="49"/>
      <c r="G649" s="49"/>
      <c r="H649" s="49"/>
    </row>
    <row r="650" spans="1:8">
      <c r="A650" s="44"/>
      <c r="B650" s="44"/>
      <c r="C650" s="49"/>
      <c r="D650" s="49"/>
      <c r="E650" s="49"/>
      <c r="F650" s="49"/>
      <c r="G650" s="49"/>
      <c r="H650" s="49"/>
    </row>
    <row r="651" spans="1:8">
      <c r="A651" s="44"/>
      <c r="B651" s="44"/>
      <c r="C651" s="49"/>
      <c r="D651" s="49"/>
      <c r="E651" s="49"/>
      <c r="F651" s="49"/>
      <c r="G651" s="49"/>
      <c r="H651" s="49"/>
    </row>
    <row r="652" spans="1:8">
      <c r="A652" s="44"/>
      <c r="B652" s="44"/>
      <c r="C652" s="49"/>
      <c r="D652" s="49"/>
      <c r="E652" s="49"/>
      <c r="F652" s="49"/>
      <c r="G652" s="49"/>
      <c r="H652" s="49"/>
    </row>
    <row r="653" spans="1:8">
      <c r="A653" s="44"/>
      <c r="B653" s="44"/>
      <c r="C653" s="49"/>
      <c r="D653" s="49"/>
      <c r="E653" s="49"/>
      <c r="F653" s="49"/>
      <c r="G653" s="49"/>
      <c r="H653" s="49"/>
    </row>
    <row r="654" spans="1:8">
      <c r="A654" s="44"/>
      <c r="B654" s="44"/>
      <c r="C654" s="49"/>
      <c r="D654" s="49"/>
      <c r="E654" s="49"/>
      <c r="F654" s="49"/>
      <c r="G654" s="49"/>
      <c r="H654" s="49"/>
    </row>
    <row r="655" spans="1:8">
      <c r="A655" s="44"/>
      <c r="B655" s="44"/>
      <c r="C655" s="49"/>
      <c r="D655" s="49"/>
      <c r="E655" s="49"/>
      <c r="F655" s="49"/>
      <c r="G655" s="49"/>
      <c r="H655" s="49"/>
    </row>
    <row r="656" spans="1:8">
      <c r="A656" s="44"/>
      <c r="B656" s="44"/>
      <c r="C656" s="49"/>
      <c r="D656" s="49"/>
      <c r="E656" s="49"/>
      <c r="F656" s="49"/>
      <c r="G656" s="49"/>
      <c r="H656" s="49"/>
    </row>
    <row r="657" spans="1:8">
      <c r="A657" s="44"/>
      <c r="B657" s="44"/>
      <c r="C657" s="49"/>
      <c r="D657" s="49"/>
      <c r="E657" s="49"/>
      <c r="F657" s="49"/>
      <c r="G657" s="49"/>
      <c r="H657" s="49"/>
    </row>
    <row r="658" spans="1:8">
      <c r="A658" s="44"/>
      <c r="B658" s="44"/>
      <c r="C658" s="49"/>
      <c r="D658" s="49"/>
      <c r="E658" s="49"/>
      <c r="F658" s="49"/>
      <c r="G658" s="49"/>
      <c r="H658" s="49"/>
    </row>
    <row r="659" spans="1:8">
      <c r="A659" s="44"/>
      <c r="B659" s="44"/>
      <c r="C659" s="49"/>
      <c r="D659" s="49"/>
      <c r="E659" s="49"/>
      <c r="F659" s="49"/>
      <c r="G659" s="49"/>
      <c r="H659" s="49"/>
    </row>
    <row r="660" spans="1:8">
      <c r="A660" s="44"/>
      <c r="B660" s="44"/>
      <c r="C660" s="49"/>
      <c r="D660" s="49"/>
      <c r="E660" s="49"/>
      <c r="F660" s="49"/>
      <c r="G660" s="49"/>
      <c r="H660" s="49"/>
    </row>
    <row r="661" spans="1:8">
      <c r="A661" s="44"/>
      <c r="B661" s="44"/>
      <c r="C661" s="49"/>
      <c r="D661" s="49"/>
      <c r="E661" s="49"/>
      <c r="F661" s="49"/>
      <c r="G661" s="49"/>
      <c r="H661" s="49"/>
    </row>
    <row r="662" spans="1:8">
      <c r="A662" s="44"/>
      <c r="B662" s="44"/>
      <c r="C662" s="49"/>
      <c r="D662" s="49"/>
      <c r="E662" s="49"/>
      <c r="F662" s="49"/>
      <c r="G662" s="49"/>
      <c r="H662" s="49"/>
    </row>
    <row r="663" spans="1:8">
      <c r="A663" s="44"/>
      <c r="B663" s="44"/>
      <c r="C663" s="49"/>
      <c r="D663" s="49"/>
      <c r="E663" s="49"/>
      <c r="F663" s="49"/>
      <c r="G663" s="49"/>
      <c r="H663" s="49"/>
    </row>
    <row r="664" spans="1:8">
      <c r="A664" s="44"/>
      <c r="B664" s="44"/>
      <c r="C664" s="49"/>
      <c r="D664" s="49"/>
      <c r="E664" s="49"/>
      <c r="F664" s="49"/>
      <c r="G664" s="49"/>
      <c r="H664" s="49"/>
    </row>
    <row r="665" spans="1:8">
      <c r="A665" s="44"/>
      <c r="B665" s="44"/>
      <c r="C665" s="49"/>
      <c r="D665" s="49"/>
      <c r="E665" s="49"/>
      <c r="F665" s="49"/>
      <c r="G665" s="49"/>
      <c r="H665" s="49"/>
    </row>
    <row r="666" spans="1:8">
      <c r="A666" s="44"/>
      <c r="B666" s="44"/>
      <c r="C666" s="49"/>
      <c r="D666" s="49"/>
      <c r="E666" s="49"/>
      <c r="F666" s="49"/>
      <c r="G666" s="49"/>
      <c r="H666" s="49"/>
    </row>
    <row r="667" spans="1:8">
      <c r="A667" s="44"/>
      <c r="B667" s="44"/>
      <c r="C667" s="49"/>
      <c r="D667" s="49"/>
      <c r="E667" s="49"/>
      <c r="F667" s="49"/>
      <c r="G667" s="49"/>
      <c r="H667" s="49"/>
    </row>
    <row r="668" spans="1:8">
      <c r="A668" s="44"/>
      <c r="B668" s="44"/>
      <c r="C668" s="49"/>
      <c r="D668" s="49"/>
      <c r="E668" s="49"/>
      <c r="F668" s="49"/>
      <c r="G668" s="49"/>
      <c r="H668" s="49"/>
    </row>
    <row r="669" spans="1:8">
      <c r="A669" s="44"/>
      <c r="B669" s="44"/>
      <c r="C669" s="49"/>
      <c r="D669" s="49"/>
      <c r="E669" s="49"/>
      <c r="F669" s="49"/>
      <c r="G669" s="49"/>
      <c r="H669" s="49"/>
    </row>
    <row r="670" spans="1:8">
      <c r="A670" s="44"/>
      <c r="B670" s="44"/>
      <c r="C670" s="49"/>
      <c r="D670" s="49"/>
      <c r="E670" s="49"/>
      <c r="F670" s="49"/>
      <c r="G670" s="49"/>
      <c r="H670" s="49"/>
    </row>
    <row r="671" spans="1:8">
      <c r="A671" s="44"/>
      <c r="B671" s="44"/>
      <c r="C671" s="49"/>
      <c r="D671" s="49"/>
      <c r="E671" s="49"/>
      <c r="F671" s="49"/>
      <c r="G671" s="49"/>
      <c r="H671" s="49"/>
    </row>
    <row r="672" spans="1:8">
      <c r="A672" s="44"/>
      <c r="B672" s="44"/>
      <c r="C672" s="49"/>
      <c r="D672" s="49"/>
      <c r="E672" s="49"/>
      <c r="F672" s="49"/>
      <c r="G672" s="49"/>
      <c r="H672" s="49"/>
    </row>
    <row r="673" spans="1:8">
      <c r="A673" s="44"/>
      <c r="B673" s="44"/>
      <c r="C673" s="49"/>
      <c r="D673" s="49"/>
      <c r="E673" s="49"/>
      <c r="F673" s="49"/>
      <c r="G673" s="49"/>
      <c r="H673" s="49"/>
    </row>
    <row r="674" spans="1:8">
      <c r="A674" s="44"/>
      <c r="B674" s="44"/>
      <c r="C674" s="49"/>
      <c r="D674" s="49"/>
      <c r="E674" s="49"/>
      <c r="F674" s="49"/>
      <c r="G674" s="49"/>
      <c r="H674" s="49"/>
    </row>
    <row r="675" spans="1:8">
      <c r="A675" s="44"/>
      <c r="B675" s="44"/>
      <c r="C675" s="49"/>
      <c r="D675" s="49"/>
      <c r="E675" s="49"/>
      <c r="F675" s="49"/>
      <c r="G675" s="49"/>
      <c r="H675" s="49"/>
    </row>
    <row r="676" spans="1:8">
      <c r="A676" s="44"/>
      <c r="B676" s="44"/>
      <c r="C676" s="49"/>
      <c r="D676" s="49"/>
      <c r="E676" s="49"/>
      <c r="F676" s="49"/>
      <c r="G676" s="49"/>
      <c r="H676" s="49"/>
    </row>
    <row r="677" spans="1:8">
      <c r="A677" s="44"/>
      <c r="B677" s="44"/>
      <c r="C677" s="49"/>
      <c r="D677" s="49"/>
      <c r="E677" s="49"/>
      <c r="F677" s="49"/>
      <c r="G677" s="49"/>
      <c r="H677" s="49"/>
    </row>
    <row r="678" spans="1:8">
      <c r="A678" s="44"/>
      <c r="B678" s="44"/>
      <c r="C678" s="49"/>
      <c r="D678" s="49"/>
      <c r="E678" s="49"/>
      <c r="F678" s="49"/>
      <c r="G678" s="49"/>
      <c r="H678" s="49"/>
    </row>
    <row r="679" spans="1:8">
      <c r="A679" s="44"/>
      <c r="B679" s="44"/>
      <c r="C679" s="49"/>
      <c r="D679" s="49"/>
      <c r="E679" s="49"/>
      <c r="F679" s="49"/>
      <c r="G679" s="49"/>
      <c r="H679" s="49"/>
    </row>
    <row r="680" spans="1:8">
      <c r="A680" s="44"/>
      <c r="B680" s="44"/>
      <c r="C680" s="49"/>
      <c r="D680" s="49"/>
      <c r="E680" s="49"/>
      <c r="F680" s="49"/>
      <c r="G680" s="49"/>
      <c r="H680" s="49"/>
    </row>
    <row r="681" spans="1:8">
      <c r="A681" s="44"/>
      <c r="B681" s="44"/>
      <c r="C681" s="49"/>
      <c r="D681" s="49"/>
      <c r="E681" s="49"/>
      <c r="F681" s="49"/>
      <c r="G681" s="49"/>
      <c r="H681" s="49"/>
    </row>
    <row r="682" spans="1:8">
      <c r="A682" s="44"/>
      <c r="B682" s="44"/>
      <c r="C682" s="49"/>
      <c r="D682" s="49"/>
      <c r="E682" s="49"/>
      <c r="F682" s="49"/>
      <c r="G682" s="49"/>
      <c r="H682" s="49"/>
    </row>
    <row r="683" spans="1:8">
      <c r="A683" s="44"/>
      <c r="B683" s="44"/>
      <c r="C683" s="49"/>
      <c r="D683" s="49"/>
      <c r="E683" s="49"/>
      <c r="F683" s="49"/>
      <c r="G683" s="49"/>
      <c r="H683" s="49"/>
    </row>
    <row r="684" spans="1:8">
      <c r="A684" s="44"/>
      <c r="B684" s="44"/>
      <c r="C684" s="49"/>
      <c r="D684" s="49"/>
      <c r="E684" s="49"/>
      <c r="F684" s="49"/>
      <c r="G684" s="49"/>
      <c r="H684" s="49"/>
    </row>
    <row r="685" spans="1:8">
      <c r="A685" s="44"/>
      <c r="B685" s="44"/>
      <c r="C685" s="49"/>
      <c r="D685" s="49"/>
      <c r="E685" s="49"/>
      <c r="F685" s="49"/>
      <c r="G685" s="49"/>
      <c r="H685" s="49"/>
    </row>
    <row r="686" spans="1:8">
      <c r="A686" s="44"/>
      <c r="B686" s="44"/>
      <c r="C686" s="49"/>
      <c r="D686" s="49"/>
      <c r="E686" s="49"/>
      <c r="F686" s="49"/>
      <c r="G686" s="49"/>
      <c r="H686" s="49"/>
    </row>
    <row r="687" spans="1:8">
      <c r="A687" s="44"/>
      <c r="B687" s="44"/>
      <c r="C687" s="49"/>
      <c r="D687" s="49"/>
      <c r="E687" s="49"/>
      <c r="F687" s="49"/>
      <c r="G687" s="49"/>
      <c r="H687" s="49"/>
    </row>
    <row r="688" spans="1:8">
      <c r="A688" s="44"/>
      <c r="B688" s="44"/>
      <c r="C688" s="49"/>
      <c r="D688" s="49"/>
      <c r="E688" s="49"/>
      <c r="F688" s="49"/>
      <c r="G688" s="49"/>
      <c r="H688" s="49"/>
    </row>
    <row r="689" spans="1:8">
      <c r="A689" s="44"/>
      <c r="B689" s="44"/>
      <c r="C689" s="49"/>
      <c r="D689" s="49"/>
      <c r="E689" s="49"/>
      <c r="F689" s="49"/>
      <c r="G689" s="49"/>
      <c r="H689" s="49"/>
    </row>
    <row r="690" spans="1:8">
      <c r="A690" s="44"/>
      <c r="B690" s="44"/>
      <c r="C690" s="49"/>
      <c r="D690" s="49"/>
      <c r="E690" s="49"/>
      <c r="F690" s="49"/>
      <c r="G690" s="49"/>
      <c r="H690" s="49"/>
    </row>
    <row r="691" spans="1:8">
      <c r="A691" s="44"/>
      <c r="B691" s="44"/>
      <c r="C691" s="49"/>
      <c r="D691" s="49"/>
      <c r="E691" s="49"/>
      <c r="F691" s="49"/>
      <c r="G691" s="49"/>
      <c r="H691" s="49"/>
    </row>
    <row r="692" spans="1:8">
      <c r="A692" s="44"/>
      <c r="B692" s="44"/>
      <c r="C692" s="49"/>
      <c r="D692" s="49"/>
      <c r="E692" s="49"/>
      <c r="F692" s="49"/>
      <c r="G692" s="49"/>
      <c r="H692" s="49"/>
    </row>
    <row r="693" spans="1:8">
      <c r="A693" s="44"/>
      <c r="B693" s="44"/>
      <c r="C693" s="49"/>
      <c r="D693" s="49"/>
      <c r="E693" s="49"/>
      <c r="F693" s="49"/>
      <c r="G693" s="49"/>
      <c r="H693" s="49"/>
    </row>
    <row r="694" spans="1:8">
      <c r="A694" s="44"/>
      <c r="B694" s="44"/>
      <c r="C694" s="49"/>
      <c r="D694" s="49"/>
      <c r="E694" s="49"/>
      <c r="F694" s="49"/>
      <c r="G694" s="49"/>
      <c r="H694" s="49"/>
    </row>
    <row r="695" spans="1:8">
      <c r="A695" s="44"/>
      <c r="B695" s="44"/>
      <c r="C695" s="49"/>
      <c r="D695" s="49"/>
      <c r="E695" s="49"/>
      <c r="F695" s="49"/>
      <c r="G695" s="49"/>
      <c r="H695" s="49"/>
    </row>
    <row r="696" spans="1:8">
      <c r="A696" s="44"/>
      <c r="B696" s="44"/>
      <c r="C696" s="49"/>
      <c r="D696" s="49"/>
      <c r="E696" s="49"/>
      <c r="F696" s="49"/>
      <c r="G696" s="49"/>
      <c r="H696" s="49"/>
    </row>
    <row r="697" spans="1:8">
      <c r="A697" s="44"/>
      <c r="B697" s="44"/>
      <c r="C697" s="49"/>
      <c r="D697" s="49"/>
      <c r="E697" s="49"/>
      <c r="F697" s="49"/>
      <c r="G697" s="49"/>
      <c r="H697" s="49"/>
    </row>
    <row r="698" spans="1:8">
      <c r="A698" s="44"/>
      <c r="B698" s="44"/>
      <c r="C698" s="49"/>
      <c r="D698" s="49"/>
      <c r="E698" s="49"/>
      <c r="F698" s="49"/>
      <c r="G698" s="49"/>
      <c r="H698" s="49"/>
    </row>
    <row r="699" spans="1:8">
      <c r="A699" s="44"/>
      <c r="B699" s="44"/>
      <c r="C699" s="49"/>
      <c r="D699" s="49"/>
      <c r="E699" s="49"/>
      <c r="F699" s="49"/>
      <c r="G699" s="49"/>
      <c r="H699" s="49"/>
    </row>
    <row r="700" spans="1:8">
      <c r="A700" s="44"/>
      <c r="B700" s="44"/>
      <c r="C700" s="49"/>
      <c r="D700" s="49"/>
      <c r="E700" s="49"/>
      <c r="F700" s="49"/>
      <c r="G700" s="49"/>
      <c r="H700" s="49"/>
    </row>
    <row r="701" spans="1:8">
      <c r="A701" s="44"/>
      <c r="B701" s="44"/>
      <c r="C701" s="49"/>
      <c r="D701" s="49"/>
      <c r="E701" s="49"/>
      <c r="F701" s="49"/>
      <c r="G701" s="49"/>
      <c r="H701" s="49"/>
    </row>
    <row r="702" spans="1:8">
      <c r="A702" s="44"/>
      <c r="B702" s="44"/>
      <c r="C702" s="49"/>
      <c r="D702" s="49"/>
      <c r="E702" s="49"/>
      <c r="F702" s="49"/>
      <c r="G702" s="49"/>
      <c r="H702" s="49"/>
    </row>
    <row r="703" spans="1:8">
      <c r="A703" s="44"/>
      <c r="B703" s="44"/>
      <c r="C703" s="49"/>
      <c r="D703" s="49"/>
      <c r="E703" s="49"/>
      <c r="F703" s="49"/>
      <c r="G703" s="49"/>
      <c r="H703" s="49"/>
    </row>
    <row r="704" spans="1:8">
      <c r="A704" s="44"/>
      <c r="B704" s="44"/>
      <c r="C704" s="49"/>
      <c r="D704" s="49"/>
      <c r="E704" s="49"/>
      <c r="F704" s="49"/>
      <c r="G704" s="49"/>
      <c r="H704" s="49"/>
    </row>
    <row r="705" spans="1:8">
      <c r="A705" s="44"/>
      <c r="B705" s="44"/>
      <c r="C705" s="49"/>
      <c r="D705" s="49"/>
      <c r="E705" s="49"/>
      <c r="F705" s="49"/>
      <c r="G705" s="49"/>
      <c r="H705" s="49"/>
    </row>
    <row r="706" spans="1:8">
      <c r="A706" s="44"/>
      <c r="B706" s="44"/>
      <c r="C706" s="49"/>
      <c r="D706" s="49"/>
      <c r="E706" s="49"/>
      <c r="F706" s="49"/>
      <c r="G706" s="49"/>
      <c r="H706" s="49"/>
    </row>
    <row r="707" spans="1:8">
      <c r="A707" s="44"/>
      <c r="B707" s="44"/>
      <c r="C707" s="49"/>
      <c r="D707" s="49"/>
      <c r="E707" s="49"/>
      <c r="F707" s="49"/>
      <c r="G707" s="49"/>
      <c r="H707" s="49"/>
    </row>
    <row r="708" spans="1:8">
      <c r="A708" s="44"/>
      <c r="B708" s="44"/>
      <c r="C708" s="49"/>
      <c r="D708" s="49"/>
      <c r="E708" s="49"/>
      <c r="F708" s="49"/>
      <c r="G708" s="49"/>
      <c r="H708" s="49"/>
    </row>
    <row r="709" spans="1:8">
      <c r="A709" s="44"/>
      <c r="B709" s="44"/>
      <c r="C709" s="49"/>
      <c r="D709" s="49"/>
      <c r="E709" s="49"/>
      <c r="F709" s="49"/>
      <c r="G709" s="49"/>
      <c r="H709" s="49"/>
    </row>
    <row r="710" spans="1:8">
      <c r="A710" s="44"/>
      <c r="B710" s="44"/>
      <c r="C710" s="49"/>
      <c r="D710" s="49"/>
      <c r="E710" s="49"/>
      <c r="F710" s="49"/>
      <c r="G710" s="49"/>
      <c r="H710" s="49"/>
    </row>
    <row r="711" spans="1:8">
      <c r="A711" s="44"/>
      <c r="B711" s="44"/>
      <c r="C711" s="49"/>
      <c r="D711" s="49"/>
      <c r="E711" s="49"/>
      <c r="F711" s="49"/>
      <c r="G711" s="49"/>
      <c r="H711" s="49"/>
    </row>
    <row r="712" spans="1:8">
      <c r="A712" s="44"/>
      <c r="B712" s="44"/>
      <c r="C712" s="49"/>
      <c r="D712" s="49"/>
      <c r="E712" s="49"/>
      <c r="F712" s="49"/>
      <c r="G712" s="49"/>
      <c r="H712" s="49"/>
    </row>
    <row r="713" spans="1:8">
      <c r="A713" s="44"/>
      <c r="B713" s="44"/>
      <c r="C713" s="49"/>
      <c r="D713" s="49"/>
      <c r="E713" s="49"/>
      <c r="F713" s="49"/>
      <c r="G713" s="49"/>
      <c r="H713" s="49"/>
    </row>
    <row r="714" spans="1:8">
      <c r="A714" s="44"/>
      <c r="B714" s="44"/>
      <c r="C714" s="49"/>
      <c r="D714" s="49"/>
      <c r="E714" s="49"/>
      <c r="F714" s="49"/>
      <c r="G714" s="49"/>
      <c r="H714" s="49"/>
    </row>
    <row r="715" spans="1:8">
      <c r="A715" s="44"/>
      <c r="B715" s="44"/>
      <c r="C715" s="49"/>
      <c r="D715" s="49"/>
      <c r="E715" s="49"/>
      <c r="F715" s="49"/>
      <c r="G715" s="49"/>
      <c r="H715" s="49"/>
    </row>
    <row r="716" spans="1:8">
      <c r="A716" s="44"/>
      <c r="B716" s="44"/>
      <c r="C716" s="49"/>
      <c r="D716" s="49"/>
      <c r="E716" s="49"/>
      <c r="F716" s="49"/>
      <c r="G716" s="49"/>
      <c r="H716" s="49"/>
    </row>
    <row r="717" spans="1:8">
      <c r="A717" s="44"/>
      <c r="B717" s="44"/>
      <c r="C717" s="49"/>
      <c r="D717" s="49"/>
      <c r="E717" s="49"/>
      <c r="F717" s="49"/>
      <c r="G717" s="49"/>
      <c r="H717" s="49"/>
    </row>
    <row r="718" spans="1:8">
      <c r="A718" s="44"/>
      <c r="B718" s="44"/>
      <c r="C718" s="49"/>
      <c r="D718" s="49"/>
      <c r="E718" s="49"/>
      <c r="F718" s="49"/>
      <c r="G718" s="49"/>
      <c r="H718" s="49"/>
    </row>
    <row r="719" spans="1:8">
      <c r="A719" s="44"/>
      <c r="B719" s="44"/>
      <c r="C719" s="49"/>
      <c r="D719" s="49"/>
      <c r="E719" s="49"/>
      <c r="F719" s="49"/>
      <c r="G719" s="49"/>
      <c r="H719" s="49"/>
    </row>
    <row r="720" spans="1:8">
      <c r="A720" s="44"/>
      <c r="B720" s="44"/>
      <c r="C720" s="49"/>
      <c r="D720" s="49"/>
      <c r="E720" s="49"/>
      <c r="F720" s="49"/>
      <c r="G720" s="49"/>
      <c r="H720" s="49"/>
    </row>
    <row r="721" spans="1:8">
      <c r="A721" s="44"/>
      <c r="B721" s="44"/>
      <c r="C721" s="49"/>
      <c r="D721" s="49"/>
      <c r="E721" s="49"/>
      <c r="F721" s="49"/>
      <c r="G721" s="49"/>
      <c r="H721" s="49"/>
    </row>
    <row r="722" spans="1:8">
      <c r="A722" s="44"/>
      <c r="B722" s="44"/>
      <c r="C722" s="49"/>
      <c r="D722" s="49"/>
      <c r="E722" s="49"/>
      <c r="F722" s="49"/>
      <c r="G722" s="49"/>
      <c r="H722" s="49"/>
    </row>
    <row r="723" spans="1:8">
      <c r="A723" s="44"/>
      <c r="B723" s="44"/>
      <c r="C723" s="49"/>
      <c r="D723" s="49"/>
      <c r="E723" s="49"/>
      <c r="F723" s="49"/>
      <c r="G723" s="49"/>
      <c r="H723" s="49"/>
    </row>
    <row r="724" spans="1:8">
      <c r="A724" s="44"/>
      <c r="B724" s="44"/>
      <c r="C724" s="49"/>
      <c r="D724" s="49"/>
      <c r="E724" s="49"/>
      <c r="F724" s="49"/>
      <c r="G724" s="49"/>
      <c r="H724" s="49"/>
    </row>
    <row r="725" spans="1:8">
      <c r="A725" s="44"/>
      <c r="B725" s="44"/>
      <c r="C725" s="49"/>
      <c r="D725" s="49"/>
      <c r="E725" s="49"/>
      <c r="F725" s="49"/>
      <c r="G725" s="49"/>
      <c r="H725" s="49"/>
    </row>
    <row r="726" spans="1:8">
      <c r="A726" s="44"/>
      <c r="B726" s="44"/>
      <c r="C726" s="49"/>
      <c r="D726" s="49"/>
      <c r="E726" s="49"/>
      <c r="F726" s="49"/>
      <c r="G726" s="49"/>
      <c r="H726" s="49"/>
    </row>
    <row r="727" spans="1:8">
      <c r="A727" s="44"/>
      <c r="B727" s="44"/>
      <c r="C727" s="49"/>
      <c r="D727" s="49"/>
      <c r="E727" s="49"/>
      <c r="F727" s="49"/>
      <c r="G727" s="49"/>
      <c r="H727" s="49"/>
    </row>
    <row r="728" spans="1:8">
      <c r="A728" s="44"/>
      <c r="B728" s="44"/>
      <c r="C728" s="49"/>
      <c r="D728" s="49"/>
      <c r="E728" s="49"/>
      <c r="F728" s="49"/>
      <c r="G728" s="49"/>
      <c r="H728" s="49"/>
    </row>
    <row r="729" spans="1:8">
      <c r="A729" s="44"/>
      <c r="B729" s="44"/>
      <c r="C729" s="49"/>
      <c r="D729" s="49"/>
      <c r="E729" s="49"/>
      <c r="F729" s="49"/>
      <c r="G729" s="49"/>
      <c r="H729" s="49"/>
    </row>
    <row r="730" spans="1:8">
      <c r="A730" s="44"/>
      <c r="B730" s="44"/>
      <c r="C730" s="49"/>
      <c r="D730" s="49"/>
      <c r="E730" s="49"/>
      <c r="F730" s="49"/>
      <c r="G730" s="49"/>
      <c r="H730" s="49"/>
    </row>
    <row r="731" spans="1:8">
      <c r="A731" s="44"/>
      <c r="B731" s="44"/>
      <c r="C731" s="49"/>
      <c r="D731" s="49"/>
      <c r="E731" s="49"/>
      <c r="F731" s="49"/>
      <c r="G731" s="49"/>
      <c r="H731" s="49"/>
    </row>
    <row r="732" spans="1:8">
      <c r="A732" s="44"/>
      <c r="B732" s="44"/>
      <c r="C732" s="49"/>
      <c r="D732" s="49"/>
      <c r="E732" s="49"/>
      <c r="F732" s="49"/>
      <c r="G732" s="49"/>
      <c r="H732" s="49"/>
    </row>
    <row r="733" spans="1:8">
      <c r="A733" s="44"/>
      <c r="B733" s="44"/>
      <c r="C733" s="49"/>
      <c r="D733" s="49"/>
      <c r="E733" s="49"/>
      <c r="F733" s="49"/>
      <c r="G733" s="49"/>
      <c r="H733" s="49"/>
    </row>
    <row r="734" spans="1:8">
      <c r="A734" s="44"/>
      <c r="B734" s="44"/>
      <c r="C734" s="49"/>
      <c r="D734" s="49"/>
      <c r="E734" s="49"/>
      <c r="F734" s="49"/>
      <c r="G734" s="49"/>
      <c r="H734" s="49"/>
    </row>
    <row r="735" spans="1:8">
      <c r="A735" s="44"/>
      <c r="B735" s="44"/>
      <c r="C735" s="49"/>
      <c r="D735" s="49"/>
      <c r="E735" s="49"/>
      <c r="F735" s="49"/>
      <c r="G735" s="49"/>
      <c r="H735" s="49"/>
    </row>
    <row r="736" spans="1:8">
      <c r="A736" s="44"/>
      <c r="B736" s="44"/>
      <c r="C736" s="49"/>
      <c r="D736" s="49"/>
      <c r="E736" s="49"/>
      <c r="F736" s="49"/>
      <c r="G736" s="49"/>
      <c r="H736" s="49"/>
    </row>
    <row r="737" spans="1:8">
      <c r="A737" s="44"/>
      <c r="B737" s="44"/>
      <c r="C737" s="49"/>
      <c r="D737" s="49"/>
      <c r="E737" s="49"/>
      <c r="F737" s="49"/>
      <c r="G737" s="49"/>
      <c r="H737" s="49"/>
    </row>
    <row r="738" spans="1:8">
      <c r="A738" s="44"/>
      <c r="B738" s="44"/>
      <c r="C738" s="49"/>
      <c r="D738" s="49"/>
      <c r="E738" s="49"/>
      <c r="F738" s="49"/>
      <c r="G738" s="49"/>
      <c r="H738" s="49"/>
    </row>
    <row r="739" spans="1:8">
      <c r="A739" s="44"/>
      <c r="B739" s="44"/>
      <c r="C739" s="49"/>
      <c r="D739" s="49"/>
      <c r="E739" s="49"/>
      <c r="F739" s="49"/>
      <c r="G739" s="49"/>
      <c r="H739" s="49"/>
    </row>
    <row r="740" spans="1:8">
      <c r="A740" s="44"/>
      <c r="B740" s="44"/>
      <c r="C740" s="49"/>
      <c r="D740" s="49"/>
      <c r="E740" s="49"/>
      <c r="F740" s="49"/>
      <c r="G740" s="49"/>
      <c r="H740" s="49"/>
    </row>
    <row r="741" spans="1:8">
      <c r="A741" s="44"/>
      <c r="B741" s="44"/>
      <c r="C741" s="49"/>
      <c r="D741" s="49"/>
      <c r="E741" s="49"/>
      <c r="F741" s="49"/>
      <c r="G741" s="49"/>
      <c r="H741" s="49"/>
    </row>
    <row r="742" spans="1:8">
      <c r="A742" s="44"/>
      <c r="B742" s="44"/>
      <c r="C742" s="49"/>
      <c r="D742" s="49"/>
      <c r="E742" s="49"/>
      <c r="F742" s="49"/>
      <c r="G742" s="49"/>
      <c r="H742" s="49"/>
    </row>
    <row r="743" spans="1:8">
      <c r="A743" s="44"/>
      <c r="B743" s="44"/>
      <c r="C743" s="49"/>
      <c r="D743" s="49"/>
      <c r="E743" s="49"/>
      <c r="F743" s="49"/>
      <c r="G743" s="49"/>
      <c r="H743" s="49"/>
    </row>
    <row r="744" spans="1:8">
      <c r="A744" s="44"/>
      <c r="B744" s="44"/>
      <c r="C744" s="49"/>
      <c r="D744" s="49"/>
      <c r="E744" s="49"/>
      <c r="F744" s="49"/>
      <c r="G744" s="49"/>
      <c r="H744" s="49"/>
    </row>
    <row r="745" spans="1:8">
      <c r="A745" s="44"/>
      <c r="B745" s="44"/>
      <c r="C745" s="49"/>
      <c r="D745" s="49"/>
      <c r="E745" s="49"/>
      <c r="F745" s="49"/>
      <c r="G745" s="49"/>
      <c r="H745" s="49"/>
    </row>
    <row r="746" spans="1:8">
      <c r="A746" s="44"/>
      <c r="B746" s="44"/>
      <c r="C746" s="49"/>
      <c r="D746" s="49"/>
      <c r="E746" s="49"/>
      <c r="F746" s="49"/>
      <c r="G746" s="49"/>
      <c r="H746" s="49"/>
    </row>
    <row r="747" spans="1:8">
      <c r="A747" s="44"/>
      <c r="B747" s="44"/>
      <c r="C747" s="49"/>
      <c r="D747" s="49"/>
      <c r="E747" s="49"/>
      <c r="F747" s="49"/>
      <c r="G747" s="49"/>
      <c r="H747" s="49"/>
    </row>
    <row r="748" spans="1:8">
      <c r="A748" s="44"/>
      <c r="B748" s="44"/>
      <c r="C748" s="49"/>
      <c r="D748" s="49"/>
      <c r="E748" s="49"/>
      <c r="F748" s="49"/>
      <c r="G748" s="49"/>
      <c r="H748" s="49"/>
    </row>
    <row r="749" spans="1:8">
      <c r="A749" s="44"/>
      <c r="B749" s="44"/>
      <c r="C749" s="49"/>
      <c r="D749" s="49"/>
      <c r="E749" s="49"/>
      <c r="F749" s="49"/>
      <c r="G749" s="49"/>
      <c r="H749" s="49"/>
    </row>
    <row r="750" spans="1:8">
      <c r="A750" s="44"/>
      <c r="B750" s="44"/>
      <c r="C750" s="49"/>
      <c r="D750" s="49"/>
      <c r="E750" s="49"/>
      <c r="F750" s="49"/>
      <c r="G750" s="49"/>
      <c r="H750" s="49"/>
    </row>
    <row r="751" spans="1:8">
      <c r="A751" s="44"/>
      <c r="B751" s="44"/>
      <c r="C751" s="49"/>
      <c r="D751" s="49"/>
      <c r="E751" s="49"/>
      <c r="F751" s="49"/>
      <c r="G751" s="49"/>
      <c r="H751" s="49"/>
    </row>
    <row r="752" spans="1:8">
      <c r="A752" s="44"/>
      <c r="B752" s="44"/>
      <c r="C752" s="49"/>
      <c r="D752" s="49"/>
      <c r="E752" s="49"/>
      <c r="F752" s="49"/>
      <c r="G752" s="49"/>
      <c r="H752" s="49"/>
    </row>
    <row r="753" spans="1:8">
      <c r="A753" s="44"/>
      <c r="B753" s="44"/>
      <c r="C753" s="49"/>
      <c r="D753" s="49"/>
      <c r="E753" s="49"/>
      <c r="F753" s="49"/>
      <c r="G753" s="49"/>
      <c r="H753" s="49"/>
    </row>
    <row r="754" spans="1:8">
      <c r="A754" s="44"/>
      <c r="B754" s="44"/>
      <c r="C754" s="49"/>
      <c r="D754" s="49"/>
      <c r="E754" s="49"/>
      <c r="F754" s="49"/>
      <c r="G754" s="49"/>
      <c r="H754" s="49"/>
    </row>
    <row r="755" spans="1:8">
      <c r="A755" s="44"/>
      <c r="B755" s="44"/>
      <c r="C755" s="49"/>
      <c r="D755" s="49"/>
      <c r="E755" s="49"/>
      <c r="F755" s="49"/>
      <c r="G755" s="49"/>
      <c r="H755" s="49"/>
    </row>
    <row r="756" spans="1:8">
      <c r="A756" s="44"/>
      <c r="B756" s="44"/>
      <c r="C756" s="49"/>
      <c r="D756" s="49"/>
      <c r="E756" s="49"/>
      <c r="F756" s="49"/>
      <c r="G756" s="49"/>
      <c r="H756" s="49"/>
    </row>
    <row r="757" spans="1:8">
      <c r="A757" s="44"/>
      <c r="B757" s="44"/>
      <c r="C757" s="49"/>
      <c r="D757" s="49"/>
      <c r="E757" s="49"/>
      <c r="F757" s="49"/>
      <c r="G757" s="49"/>
      <c r="H757" s="49"/>
    </row>
    <row r="758" spans="1:8">
      <c r="A758" s="44"/>
      <c r="B758" s="44"/>
      <c r="C758" s="49"/>
      <c r="D758" s="49"/>
      <c r="E758" s="49"/>
      <c r="F758" s="49"/>
      <c r="G758" s="49"/>
      <c r="H758" s="49"/>
    </row>
    <row r="759" spans="1:8">
      <c r="A759" s="44"/>
      <c r="B759" s="44"/>
      <c r="C759" s="49"/>
      <c r="D759" s="49"/>
      <c r="E759" s="49"/>
      <c r="F759" s="49"/>
      <c r="G759" s="49"/>
      <c r="H759" s="49"/>
    </row>
    <row r="760" spans="1:8">
      <c r="A760" s="44"/>
      <c r="B760" s="44"/>
      <c r="C760" s="49"/>
      <c r="D760" s="49"/>
      <c r="E760" s="49"/>
      <c r="F760" s="49"/>
      <c r="G760" s="49"/>
      <c r="H760" s="49"/>
    </row>
    <row r="761" spans="1:8">
      <c r="A761" s="44"/>
      <c r="B761" s="44"/>
      <c r="C761" s="49"/>
      <c r="D761" s="49"/>
      <c r="E761" s="49"/>
      <c r="F761" s="49"/>
      <c r="G761" s="49"/>
      <c r="H761" s="49"/>
    </row>
    <row r="762" spans="1:8">
      <c r="A762" s="44"/>
      <c r="B762" s="44"/>
      <c r="C762" s="49"/>
      <c r="D762" s="49"/>
      <c r="E762" s="49"/>
      <c r="F762" s="49"/>
      <c r="G762" s="49"/>
      <c r="H762" s="49"/>
    </row>
    <row r="763" spans="1:8">
      <c r="A763" s="44"/>
      <c r="B763" s="44"/>
      <c r="C763" s="49"/>
      <c r="D763" s="49"/>
      <c r="E763" s="49"/>
      <c r="F763" s="49"/>
      <c r="G763" s="49"/>
      <c r="H763" s="49"/>
    </row>
    <row r="764" spans="1:8">
      <c r="A764" s="44"/>
      <c r="B764" s="44"/>
      <c r="C764" s="49"/>
      <c r="D764" s="49"/>
      <c r="E764" s="49"/>
      <c r="F764" s="49"/>
      <c r="G764" s="49"/>
      <c r="H764" s="49"/>
    </row>
    <row r="765" spans="1:8">
      <c r="A765" s="44"/>
      <c r="B765" s="44"/>
      <c r="C765" s="49"/>
      <c r="D765" s="49"/>
      <c r="E765" s="49"/>
      <c r="F765" s="49"/>
      <c r="G765" s="49"/>
      <c r="H765" s="49"/>
    </row>
    <row r="766" spans="1:8">
      <c r="A766" s="44"/>
      <c r="B766" s="44"/>
      <c r="C766" s="49"/>
      <c r="D766" s="49"/>
      <c r="E766" s="49"/>
      <c r="F766" s="49"/>
      <c r="G766" s="49"/>
      <c r="H766" s="49"/>
    </row>
    <row r="767" spans="1:8">
      <c r="A767" s="44"/>
      <c r="B767" s="44"/>
      <c r="C767" s="49"/>
      <c r="D767" s="49"/>
      <c r="E767" s="49"/>
      <c r="F767" s="49"/>
      <c r="G767" s="49"/>
      <c r="H767" s="49"/>
    </row>
    <row r="768" spans="1:8">
      <c r="A768" s="44"/>
      <c r="B768" s="44"/>
      <c r="C768" s="49"/>
      <c r="D768" s="49"/>
      <c r="E768" s="49"/>
      <c r="F768" s="49"/>
      <c r="G768" s="49"/>
      <c r="H768" s="49"/>
    </row>
    <row r="769" spans="1:8">
      <c r="A769" s="44"/>
      <c r="B769" s="44"/>
      <c r="C769" s="49"/>
      <c r="D769" s="49"/>
      <c r="E769" s="49"/>
      <c r="F769" s="49"/>
      <c r="G769" s="49"/>
      <c r="H769" s="49"/>
    </row>
    <row r="770" spans="1:8">
      <c r="A770" s="44"/>
      <c r="B770" s="44"/>
      <c r="C770" s="49"/>
      <c r="D770" s="49"/>
      <c r="E770" s="49"/>
      <c r="F770" s="49"/>
      <c r="G770" s="49"/>
      <c r="H770" s="49"/>
    </row>
    <row r="771" spans="1:8">
      <c r="A771" s="44"/>
      <c r="B771" s="44"/>
      <c r="C771" s="49"/>
      <c r="D771" s="49"/>
      <c r="E771" s="49"/>
      <c r="F771" s="49"/>
      <c r="G771" s="49"/>
      <c r="H771" s="49"/>
    </row>
    <row r="772" spans="1:8">
      <c r="A772" s="44"/>
      <c r="B772" s="44"/>
      <c r="C772" s="49"/>
      <c r="D772" s="49"/>
      <c r="E772" s="49"/>
      <c r="F772" s="49"/>
      <c r="G772" s="49"/>
      <c r="H772" s="49"/>
    </row>
    <row r="773" spans="1:8">
      <c r="A773" s="44"/>
      <c r="B773" s="44"/>
      <c r="C773" s="49"/>
      <c r="D773" s="49"/>
      <c r="E773" s="49"/>
      <c r="F773" s="49"/>
      <c r="G773" s="49"/>
      <c r="H773" s="49"/>
    </row>
    <row r="774" spans="1:8">
      <c r="A774" s="44"/>
      <c r="B774" s="44"/>
      <c r="C774" s="49"/>
      <c r="D774" s="49"/>
      <c r="E774" s="49"/>
      <c r="F774" s="49"/>
      <c r="G774" s="49"/>
      <c r="H774" s="49"/>
    </row>
    <row r="775" spans="1:8">
      <c r="A775" s="44"/>
      <c r="B775" s="44"/>
      <c r="C775" s="49"/>
      <c r="D775" s="49"/>
      <c r="E775" s="49"/>
      <c r="F775" s="49"/>
      <c r="G775" s="49"/>
      <c r="H775" s="49"/>
    </row>
    <row r="776" spans="1:8">
      <c r="A776" s="44"/>
      <c r="B776" s="44"/>
      <c r="C776" s="49"/>
      <c r="D776" s="49"/>
      <c r="E776" s="49"/>
      <c r="F776" s="49"/>
      <c r="G776" s="49"/>
      <c r="H776" s="49"/>
    </row>
    <row r="777" spans="1:8">
      <c r="A777" s="44"/>
      <c r="B777" s="44"/>
      <c r="C777" s="49"/>
      <c r="D777" s="49"/>
      <c r="E777" s="49"/>
      <c r="F777" s="49"/>
      <c r="G777" s="49"/>
      <c r="H777" s="49"/>
    </row>
    <row r="778" spans="1:8">
      <c r="A778" s="44"/>
      <c r="B778" s="44"/>
      <c r="C778" s="49"/>
      <c r="D778" s="49"/>
      <c r="E778" s="49"/>
      <c r="F778" s="49"/>
      <c r="G778" s="49"/>
      <c r="H778" s="49"/>
    </row>
    <row r="779" spans="1:8">
      <c r="A779" s="44"/>
      <c r="B779" s="44"/>
      <c r="C779" s="49"/>
      <c r="D779" s="49"/>
      <c r="E779" s="49"/>
      <c r="F779" s="49"/>
      <c r="G779" s="49"/>
      <c r="H779" s="49"/>
    </row>
    <row r="780" spans="1:8">
      <c r="A780" s="44"/>
      <c r="B780" s="44"/>
      <c r="C780" s="49"/>
      <c r="D780" s="49"/>
      <c r="E780" s="49"/>
      <c r="F780" s="49"/>
      <c r="G780" s="49"/>
      <c r="H780" s="49"/>
    </row>
    <row r="781" spans="1:8">
      <c r="A781" s="44"/>
      <c r="B781" s="44"/>
      <c r="C781" s="49"/>
      <c r="D781" s="49"/>
      <c r="E781" s="49"/>
      <c r="F781" s="49"/>
      <c r="G781" s="49"/>
      <c r="H781" s="49"/>
    </row>
    <row r="782" spans="1:8">
      <c r="A782" s="44"/>
      <c r="B782" s="44"/>
      <c r="C782" s="49"/>
      <c r="D782" s="49"/>
      <c r="E782" s="49"/>
      <c r="F782" s="49"/>
      <c r="G782" s="49"/>
      <c r="H782" s="49"/>
    </row>
    <row r="783" spans="1:8">
      <c r="A783" s="44"/>
      <c r="B783" s="44"/>
      <c r="C783" s="49"/>
      <c r="D783" s="49"/>
      <c r="E783" s="49"/>
      <c r="F783" s="49"/>
      <c r="G783" s="49"/>
      <c r="H783" s="49"/>
    </row>
    <row r="784" spans="1:8">
      <c r="A784" s="44"/>
      <c r="B784" s="44"/>
      <c r="C784" s="49"/>
      <c r="D784" s="49"/>
      <c r="E784" s="49"/>
      <c r="F784" s="49"/>
      <c r="G784" s="49"/>
      <c r="H784" s="49"/>
    </row>
    <row r="785" spans="1:8">
      <c r="A785" s="44"/>
      <c r="B785" s="44"/>
      <c r="C785" s="49"/>
      <c r="D785" s="49"/>
      <c r="E785" s="49"/>
      <c r="F785" s="49"/>
      <c r="G785" s="49"/>
      <c r="H785" s="49"/>
    </row>
    <row r="786" spans="1:8">
      <c r="A786" s="44"/>
      <c r="B786" s="44"/>
      <c r="C786" s="49"/>
      <c r="D786" s="49"/>
      <c r="E786" s="49"/>
      <c r="F786" s="49"/>
      <c r="G786" s="49"/>
      <c r="H786" s="49"/>
    </row>
    <row r="787" spans="1:8">
      <c r="A787" s="44"/>
      <c r="B787" s="44"/>
      <c r="C787" s="49"/>
      <c r="D787" s="49"/>
      <c r="E787" s="49"/>
      <c r="F787" s="49"/>
      <c r="G787" s="49"/>
      <c r="H787" s="49"/>
    </row>
    <row r="788" spans="1:8">
      <c r="A788" s="44"/>
      <c r="B788" s="44"/>
      <c r="C788" s="49"/>
      <c r="D788" s="49"/>
      <c r="E788" s="49"/>
      <c r="F788" s="49"/>
      <c r="G788" s="49"/>
      <c r="H788" s="49"/>
    </row>
    <row r="789" spans="1:8">
      <c r="A789" s="44"/>
      <c r="B789" s="44"/>
      <c r="C789" s="49"/>
      <c r="D789" s="49"/>
      <c r="E789" s="49"/>
      <c r="F789" s="49"/>
      <c r="G789" s="49"/>
      <c r="H789" s="49"/>
    </row>
    <row r="790" spans="1:8">
      <c r="A790" s="44"/>
      <c r="B790" s="44"/>
      <c r="C790" s="49"/>
      <c r="D790" s="49"/>
      <c r="E790" s="49"/>
      <c r="F790" s="49"/>
      <c r="G790" s="49"/>
      <c r="H790" s="49"/>
    </row>
    <row r="791" spans="1:8">
      <c r="A791" s="44"/>
      <c r="B791" s="44"/>
      <c r="C791" s="49"/>
      <c r="D791" s="49"/>
      <c r="E791" s="49"/>
      <c r="F791" s="49"/>
      <c r="G791" s="49"/>
      <c r="H791" s="49"/>
    </row>
    <row r="792" spans="1:8">
      <c r="A792" s="44"/>
      <c r="B792" s="44"/>
      <c r="C792" s="49"/>
      <c r="D792" s="49"/>
      <c r="E792" s="49"/>
      <c r="F792" s="49"/>
      <c r="G792" s="49"/>
      <c r="H792" s="49"/>
    </row>
    <row r="793" spans="1:8">
      <c r="A793" s="44"/>
      <c r="B793" s="44"/>
      <c r="C793" s="49"/>
      <c r="D793" s="49"/>
      <c r="E793" s="49"/>
      <c r="F793" s="49"/>
      <c r="G793" s="49"/>
      <c r="H793" s="49"/>
    </row>
    <row r="794" spans="1:8">
      <c r="A794" s="44"/>
      <c r="B794" s="44"/>
      <c r="C794" s="49"/>
      <c r="D794" s="49"/>
      <c r="E794" s="49"/>
      <c r="F794" s="49"/>
      <c r="G794" s="49"/>
      <c r="H794" s="49"/>
    </row>
    <row r="795" spans="1:8">
      <c r="A795" s="44"/>
      <c r="B795" s="44"/>
      <c r="C795" s="49"/>
      <c r="D795" s="49"/>
      <c r="E795" s="49"/>
      <c r="F795" s="49"/>
      <c r="G795" s="49"/>
      <c r="H795" s="49"/>
    </row>
    <row r="796" spans="1:8">
      <c r="A796" s="44"/>
      <c r="B796" s="44"/>
      <c r="C796" s="49"/>
      <c r="D796" s="49"/>
      <c r="E796" s="49"/>
      <c r="F796" s="49"/>
      <c r="G796" s="49"/>
      <c r="H796" s="49"/>
    </row>
    <row r="797" spans="1:8">
      <c r="A797" s="44"/>
      <c r="B797" s="44"/>
      <c r="C797" s="49"/>
      <c r="D797" s="49"/>
      <c r="E797" s="49"/>
      <c r="F797" s="49"/>
      <c r="G797" s="49"/>
      <c r="H797" s="49"/>
    </row>
    <row r="798" spans="1:8">
      <c r="A798" s="44"/>
      <c r="B798" s="44"/>
      <c r="C798" s="49"/>
      <c r="D798" s="49"/>
      <c r="E798" s="49"/>
      <c r="F798" s="49"/>
      <c r="G798" s="49"/>
      <c r="H798" s="49"/>
    </row>
    <row r="799" spans="1:8">
      <c r="A799" s="44"/>
      <c r="B799" s="44"/>
      <c r="C799" s="49"/>
      <c r="D799" s="49"/>
      <c r="E799" s="49"/>
      <c r="F799" s="49"/>
      <c r="G799" s="49"/>
      <c r="H799" s="49"/>
    </row>
    <row r="800" spans="1:8">
      <c r="A800" s="44"/>
      <c r="B800" s="44"/>
      <c r="C800" s="49"/>
      <c r="D800" s="49"/>
      <c r="E800" s="49"/>
      <c r="F800" s="49"/>
      <c r="G800" s="49"/>
      <c r="H800" s="49"/>
    </row>
    <row r="801" spans="1:8">
      <c r="A801" s="44"/>
      <c r="B801" s="44"/>
      <c r="C801" s="49"/>
      <c r="D801" s="49"/>
      <c r="E801" s="49"/>
      <c r="F801" s="49"/>
      <c r="G801" s="49"/>
      <c r="H801" s="49"/>
    </row>
    <row r="802" spans="1:8">
      <c r="A802" s="44"/>
      <c r="B802" s="44"/>
      <c r="C802" s="49"/>
      <c r="D802" s="49"/>
      <c r="E802" s="49"/>
      <c r="F802" s="49"/>
      <c r="G802" s="49"/>
      <c r="H802" s="49"/>
    </row>
    <row r="803" spans="1:8">
      <c r="A803" s="44"/>
      <c r="B803" s="44"/>
      <c r="C803" s="49"/>
      <c r="D803" s="49"/>
      <c r="E803" s="49"/>
      <c r="F803" s="49"/>
      <c r="G803" s="49"/>
      <c r="H803" s="49"/>
    </row>
    <row r="804" spans="1:8">
      <c r="A804" s="44"/>
      <c r="B804" s="44"/>
      <c r="C804" s="49"/>
      <c r="D804" s="49"/>
      <c r="E804" s="49"/>
      <c r="F804" s="49"/>
      <c r="G804" s="49"/>
      <c r="H804" s="49"/>
    </row>
    <row r="805" spans="1:8">
      <c r="A805" s="44"/>
      <c r="B805" s="44"/>
      <c r="C805" s="49"/>
      <c r="D805" s="49"/>
      <c r="E805" s="49"/>
      <c r="F805" s="49"/>
      <c r="G805" s="49"/>
      <c r="H805" s="49"/>
    </row>
    <row r="806" spans="1:8">
      <c r="A806" s="44"/>
      <c r="B806" s="44"/>
      <c r="C806" s="49"/>
      <c r="D806" s="49"/>
      <c r="E806" s="49"/>
      <c r="F806" s="49"/>
      <c r="G806" s="49"/>
      <c r="H806" s="49"/>
    </row>
    <row r="807" spans="1:8">
      <c r="A807" s="44"/>
      <c r="B807" s="44"/>
      <c r="C807" s="49"/>
      <c r="D807" s="49"/>
      <c r="E807" s="49"/>
      <c r="F807" s="49"/>
      <c r="G807" s="49"/>
      <c r="H807" s="49"/>
    </row>
    <row r="808" spans="1:8">
      <c r="A808" s="44"/>
      <c r="B808" s="44"/>
      <c r="C808" s="49"/>
      <c r="D808" s="49"/>
      <c r="E808" s="49"/>
      <c r="F808" s="49"/>
      <c r="G808" s="49"/>
      <c r="H808" s="49"/>
    </row>
    <row r="809" spans="1:8">
      <c r="A809" s="44"/>
      <c r="B809" s="44"/>
      <c r="C809" s="49"/>
      <c r="D809" s="49"/>
      <c r="E809" s="49"/>
      <c r="F809" s="49"/>
      <c r="G809" s="49"/>
      <c r="H809" s="49"/>
    </row>
    <row r="810" spans="1:8">
      <c r="A810" s="44"/>
      <c r="B810" s="44"/>
      <c r="C810" s="49"/>
      <c r="D810" s="49"/>
      <c r="E810" s="49"/>
      <c r="F810" s="49"/>
      <c r="G810" s="49"/>
      <c r="H810" s="49"/>
    </row>
    <row r="811" spans="1:8">
      <c r="A811" s="44"/>
      <c r="B811" s="44"/>
      <c r="C811" s="49"/>
      <c r="D811" s="49"/>
      <c r="E811" s="49"/>
      <c r="F811" s="49"/>
      <c r="G811" s="49"/>
      <c r="H811" s="49"/>
    </row>
    <row r="812" spans="1:8">
      <c r="A812" s="44"/>
      <c r="B812" s="44"/>
      <c r="C812" s="49"/>
      <c r="D812" s="49"/>
      <c r="E812" s="49"/>
      <c r="F812" s="49"/>
      <c r="G812" s="49"/>
      <c r="H812" s="49"/>
    </row>
    <row r="813" spans="1:8">
      <c r="A813" s="44"/>
      <c r="B813" s="44"/>
      <c r="C813" s="49"/>
      <c r="D813" s="49"/>
      <c r="E813" s="49"/>
      <c r="F813" s="49"/>
      <c r="G813" s="49"/>
      <c r="H813" s="49"/>
    </row>
    <row r="814" spans="1:8">
      <c r="A814" s="44"/>
      <c r="B814" s="44"/>
      <c r="C814" s="49"/>
      <c r="D814" s="49"/>
      <c r="E814" s="49"/>
      <c r="F814" s="49"/>
      <c r="G814" s="49"/>
      <c r="H814" s="49"/>
    </row>
    <row r="815" spans="1:8">
      <c r="A815" s="44"/>
      <c r="B815" s="44"/>
      <c r="C815" s="49"/>
      <c r="D815" s="49"/>
      <c r="E815" s="49"/>
      <c r="F815" s="49"/>
      <c r="G815" s="49"/>
      <c r="H815" s="49"/>
    </row>
    <row r="816" spans="1:8">
      <c r="A816" s="44"/>
      <c r="B816" s="44"/>
      <c r="C816" s="49"/>
      <c r="D816" s="49"/>
      <c r="E816" s="49"/>
      <c r="F816" s="49"/>
      <c r="G816" s="49"/>
      <c r="H816" s="49"/>
    </row>
    <row r="817" spans="1:8">
      <c r="A817" s="44"/>
      <c r="B817" s="44"/>
      <c r="C817" s="49"/>
      <c r="D817" s="49"/>
      <c r="E817" s="49"/>
      <c r="F817" s="49"/>
      <c r="G817" s="49"/>
      <c r="H817" s="49"/>
    </row>
    <row r="818" spans="1:8">
      <c r="A818" s="44"/>
      <c r="B818" s="44"/>
      <c r="C818" s="49"/>
      <c r="D818" s="49"/>
      <c r="E818" s="49"/>
      <c r="F818" s="49"/>
      <c r="G818" s="49"/>
      <c r="H818" s="49"/>
    </row>
    <row r="819" spans="1:8">
      <c r="A819" s="44"/>
      <c r="B819" s="44"/>
      <c r="C819" s="44"/>
      <c r="D819" s="44"/>
      <c r="E819" s="44"/>
      <c r="F819" s="44"/>
      <c r="G819" s="44"/>
      <c r="H819" s="44"/>
    </row>
    <row r="820" spans="1:8">
      <c r="A820" s="44"/>
      <c r="B820" s="44"/>
      <c r="C820" s="44"/>
      <c r="D820" s="44"/>
      <c r="E820" s="44"/>
      <c r="F820" s="44"/>
      <c r="G820" s="44"/>
      <c r="H820" s="44"/>
    </row>
    <row r="821" spans="1:8">
      <c r="A821" s="44"/>
      <c r="B821" s="44"/>
      <c r="C821" s="44"/>
      <c r="D821" s="44"/>
      <c r="E821" s="44"/>
      <c r="F821" s="44"/>
      <c r="G821" s="44"/>
      <c r="H821" s="44"/>
    </row>
    <row r="822" spans="1:8">
      <c r="A822" s="44"/>
      <c r="B822" s="44"/>
      <c r="C822" s="44"/>
      <c r="D822" s="44"/>
      <c r="E822" s="44"/>
      <c r="F822" s="44"/>
      <c r="G822" s="44"/>
      <c r="H822" s="44"/>
    </row>
    <row r="823" spans="1:8">
      <c r="A823" s="44"/>
      <c r="B823" s="44"/>
      <c r="C823" s="44"/>
      <c r="D823" s="44"/>
      <c r="E823" s="44"/>
      <c r="F823" s="44"/>
      <c r="G823" s="44"/>
      <c r="H823" s="44"/>
    </row>
    <row r="824" spans="1:8">
      <c r="A824" s="44"/>
      <c r="B824" s="44"/>
      <c r="C824" s="44"/>
      <c r="D824" s="44"/>
      <c r="E824" s="44"/>
      <c r="F824" s="44"/>
      <c r="G824" s="44"/>
      <c r="H824" s="44"/>
    </row>
    <row r="825" spans="1:8">
      <c r="A825" s="44"/>
      <c r="B825" s="44"/>
      <c r="C825" s="44"/>
      <c r="D825" s="44"/>
      <c r="E825" s="44"/>
      <c r="F825" s="44"/>
      <c r="G825" s="44"/>
      <c r="H825" s="44"/>
    </row>
    <row r="826" spans="1:8">
      <c r="A826" s="44"/>
      <c r="B826" s="44"/>
      <c r="C826" s="44"/>
      <c r="D826" s="44"/>
      <c r="E826" s="44"/>
      <c r="F826" s="44"/>
      <c r="G826" s="44"/>
      <c r="H826" s="44"/>
    </row>
    <row r="827" spans="1:8">
      <c r="A827" s="44"/>
      <c r="B827" s="44"/>
      <c r="C827" s="44"/>
      <c r="D827" s="44"/>
      <c r="E827" s="44"/>
      <c r="F827" s="44"/>
      <c r="G827" s="44"/>
      <c r="H827" s="44"/>
    </row>
    <row r="828" spans="1:8">
      <c r="A828" s="44"/>
      <c r="B828" s="44"/>
      <c r="C828" s="44"/>
      <c r="D828" s="44"/>
      <c r="E828" s="44"/>
      <c r="F828" s="44"/>
      <c r="G828" s="44"/>
      <c r="H828" s="44"/>
    </row>
    <row r="829" spans="1:8">
      <c r="A829" s="44"/>
      <c r="B829" s="44"/>
      <c r="C829" s="44"/>
      <c r="D829" s="44"/>
      <c r="E829" s="44"/>
      <c r="F829" s="44"/>
      <c r="G829" s="44"/>
      <c r="H829" s="44"/>
    </row>
    <row r="830" spans="1:8">
      <c r="A830" s="44"/>
      <c r="B830" s="44"/>
      <c r="C830" s="44"/>
      <c r="D830" s="44"/>
      <c r="E830" s="44"/>
      <c r="F830" s="44"/>
      <c r="G830" s="44"/>
      <c r="H830" s="44"/>
    </row>
    <row r="831" spans="1:8">
      <c r="A831" s="44"/>
      <c r="B831" s="44"/>
      <c r="C831" s="44"/>
      <c r="D831" s="44"/>
      <c r="E831" s="44"/>
      <c r="F831" s="44"/>
      <c r="G831" s="44"/>
      <c r="H831" s="44"/>
    </row>
    <row r="832" spans="1:8">
      <c r="A832" s="44"/>
      <c r="B832" s="44"/>
      <c r="C832" s="44"/>
      <c r="D832" s="44"/>
      <c r="E832" s="44"/>
      <c r="F832" s="44"/>
      <c r="G832" s="44"/>
      <c r="H832" s="44"/>
    </row>
    <row r="833" spans="1:8">
      <c r="A833" s="44"/>
      <c r="B833" s="44"/>
      <c r="C833" s="44"/>
      <c r="D833" s="44"/>
      <c r="E833" s="44"/>
      <c r="F833" s="44"/>
      <c r="G833" s="44"/>
      <c r="H833" s="44"/>
    </row>
    <row r="834" spans="1:8">
      <c r="A834" s="44"/>
      <c r="B834" s="44"/>
      <c r="C834" s="44"/>
      <c r="D834" s="44"/>
      <c r="E834" s="44"/>
      <c r="F834" s="44"/>
      <c r="G834" s="44"/>
      <c r="H834" s="44"/>
    </row>
    <row r="835" spans="1:8">
      <c r="A835" s="44"/>
      <c r="B835" s="44"/>
      <c r="C835" s="44"/>
      <c r="D835" s="44"/>
      <c r="E835" s="44"/>
      <c r="F835" s="44"/>
      <c r="G835" s="44"/>
      <c r="H835" s="44"/>
    </row>
    <row r="836" spans="1:8">
      <c r="A836" s="44"/>
      <c r="B836" s="44"/>
      <c r="C836" s="44"/>
      <c r="D836" s="44"/>
      <c r="E836" s="44"/>
      <c r="F836" s="44"/>
      <c r="G836" s="44"/>
      <c r="H836" s="44"/>
    </row>
    <row r="837" spans="1:8">
      <c r="A837" s="44"/>
      <c r="B837" s="44"/>
      <c r="C837" s="44"/>
      <c r="D837" s="44"/>
      <c r="E837" s="44"/>
      <c r="F837" s="44"/>
      <c r="G837" s="44"/>
      <c r="H837" s="44"/>
    </row>
    <row r="838" spans="1:8">
      <c r="A838" s="44"/>
      <c r="B838" s="44"/>
      <c r="C838" s="44"/>
      <c r="D838" s="44"/>
      <c r="E838" s="44"/>
      <c r="F838" s="44"/>
      <c r="G838" s="44"/>
      <c r="H838" s="44"/>
    </row>
    <row r="839" spans="1:8">
      <c r="A839" s="44"/>
      <c r="B839" s="44"/>
      <c r="C839" s="44"/>
      <c r="D839" s="44"/>
      <c r="E839" s="44"/>
      <c r="F839" s="44"/>
      <c r="G839" s="44"/>
      <c r="H839" s="44"/>
    </row>
    <row r="840" spans="1:8">
      <c r="A840" s="44"/>
      <c r="B840" s="44"/>
      <c r="C840" s="44"/>
      <c r="D840" s="44"/>
      <c r="E840" s="44"/>
      <c r="F840" s="44"/>
      <c r="G840" s="44"/>
      <c r="H840" s="44"/>
    </row>
    <row r="841" spans="1:8">
      <c r="A841" s="44"/>
      <c r="B841" s="44"/>
      <c r="C841" s="44"/>
      <c r="D841" s="44"/>
      <c r="E841" s="44"/>
      <c r="F841" s="44"/>
      <c r="G841" s="44"/>
      <c r="H841" s="44"/>
    </row>
    <row r="842" spans="1:8">
      <c r="A842" s="44"/>
      <c r="B842" s="44"/>
      <c r="C842" s="44"/>
      <c r="D842" s="44"/>
      <c r="E842" s="44"/>
      <c r="F842" s="44"/>
      <c r="G842" s="44"/>
      <c r="H842" s="44"/>
    </row>
    <row r="843" spans="1:8">
      <c r="A843" s="44"/>
      <c r="B843" s="44"/>
      <c r="C843" s="44"/>
      <c r="D843" s="44"/>
      <c r="E843" s="44"/>
      <c r="F843" s="44"/>
      <c r="G843" s="44"/>
      <c r="H843" s="44"/>
    </row>
    <row r="844" spans="1:8">
      <c r="A844" s="44"/>
      <c r="B844" s="44"/>
      <c r="C844" s="44"/>
      <c r="D844" s="44"/>
      <c r="E844" s="44"/>
      <c r="F844" s="44"/>
      <c r="G844" s="44"/>
      <c r="H844" s="44"/>
    </row>
    <row r="845" spans="1:8">
      <c r="A845" s="44"/>
      <c r="B845" s="44"/>
      <c r="C845" s="44"/>
      <c r="D845" s="44"/>
      <c r="E845" s="44"/>
      <c r="F845" s="44"/>
      <c r="G845" s="44"/>
      <c r="H845" s="44"/>
    </row>
    <row r="846" spans="1:8">
      <c r="A846" s="44"/>
      <c r="B846" s="44"/>
      <c r="C846" s="44"/>
      <c r="D846" s="44"/>
      <c r="E846" s="44"/>
      <c r="F846" s="44"/>
      <c r="G846" s="44"/>
      <c r="H846" s="44"/>
    </row>
    <row r="847" spans="1:8">
      <c r="A847" s="44"/>
      <c r="B847" s="44"/>
      <c r="C847" s="44"/>
      <c r="D847" s="44"/>
      <c r="E847" s="44"/>
      <c r="F847" s="44"/>
      <c r="G847" s="44"/>
      <c r="H847" s="44"/>
    </row>
    <row r="848" spans="1:8">
      <c r="A848" s="44"/>
      <c r="B848" s="44"/>
      <c r="C848" s="44"/>
      <c r="D848" s="44"/>
      <c r="E848" s="44"/>
      <c r="F848" s="44"/>
      <c r="G848" s="44"/>
      <c r="H848" s="44"/>
    </row>
    <row r="849" spans="1:8">
      <c r="A849" s="44"/>
      <c r="B849" s="44"/>
      <c r="C849" s="44"/>
      <c r="D849" s="44"/>
      <c r="E849" s="44"/>
      <c r="F849" s="44"/>
      <c r="G849" s="44"/>
      <c r="H849" s="44"/>
    </row>
    <row r="850" spans="1:8">
      <c r="A850" s="44"/>
      <c r="B850" s="44"/>
      <c r="C850" s="44"/>
      <c r="D850" s="44"/>
      <c r="E850" s="44"/>
      <c r="F850" s="44"/>
      <c r="G850" s="44"/>
      <c r="H850" s="44"/>
    </row>
    <row r="851" spans="1:8">
      <c r="A851" s="44"/>
      <c r="B851" s="44"/>
      <c r="C851" s="44"/>
      <c r="D851" s="44"/>
      <c r="E851" s="44"/>
      <c r="F851" s="44"/>
      <c r="G851" s="44"/>
      <c r="H851" s="44"/>
    </row>
    <row r="852" spans="1:8">
      <c r="A852" s="44"/>
      <c r="B852" s="44"/>
      <c r="C852" s="44"/>
      <c r="D852" s="44"/>
      <c r="E852" s="44"/>
      <c r="F852" s="44"/>
      <c r="G852" s="44"/>
      <c r="H852" s="44"/>
    </row>
    <row r="853" spans="1:8">
      <c r="A853" s="44"/>
      <c r="B853" s="44"/>
      <c r="C853" s="44"/>
      <c r="D853" s="44"/>
      <c r="E853" s="44"/>
      <c r="F853" s="44"/>
      <c r="G853" s="44"/>
      <c r="H853" s="44"/>
    </row>
    <row r="854" spans="1:8">
      <c r="A854" s="44"/>
      <c r="B854" s="44"/>
      <c r="C854" s="44"/>
      <c r="D854" s="44"/>
      <c r="E854" s="44"/>
      <c r="F854" s="44"/>
      <c r="G854" s="44"/>
      <c r="H854" s="44"/>
    </row>
    <row r="855" spans="1:8">
      <c r="A855" s="44"/>
      <c r="B855" s="44"/>
      <c r="C855" s="44"/>
      <c r="D855" s="44"/>
      <c r="E855" s="44"/>
      <c r="F855" s="44"/>
      <c r="G855" s="44"/>
      <c r="H855" s="44"/>
    </row>
    <row r="856" spans="1:8">
      <c r="A856" s="44"/>
      <c r="B856" s="44"/>
      <c r="C856" s="44"/>
      <c r="D856" s="44"/>
      <c r="E856" s="44"/>
      <c r="F856" s="44"/>
      <c r="G856" s="44"/>
      <c r="H856" s="44"/>
    </row>
    <row r="857" spans="1:8">
      <c r="A857" s="44"/>
      <c r="B857" s="44"/>
      <c r="C857" s="44"/>
      <c r="D857" s="44"/>
      <c r="E857" s="44"/>
      <c r="F857" s="44"/>
      <c r="G857" s="44"/>
      <c r="H857" s="44"/>
    </row>
    <row r="858" spans="1:8">
      <c r="A858" s="44"/>
      <c r="B858" s="44"/>
      <c r="C858" s="44"/>
      <c r="D858" s="44"/>
      <c r="E858" s="44"/>
      <c r="F858" s="44"/>
      <c r="G858" s="44"/>
      <c r="H858" s="44"/>
    </row>
    <row r="859" spans="1:8">
      <c r="A859" s="44"/>
      <c r="B859" s="44"/>
      <c r="C859" s="44"/>
      <c r="D859" s="44"/>
      <c r="E859" s="44"/>
      <c r="F859" s="44"/>
      <c r="G859" s="44"/>
      <c r="H859" s="44"/>
    </row>
    <row r="860" spans="1:8">
      <c r="A860" s="44"/>
      <c r="B860" s="44"/>
      <c r="C860" s="44"/>
      <c r="D860" s="44"/>
      <c r="E860" s="44"/>
      <c r="F860" s="44"/>
      <c r="G860" s="44"/>
      <c r="H860" s="44"/>
    </row>
    <row r="861" spans="1:8">
      <c r="A861" s="44"/>
      <c r="B861" s="44"/>
      <c r="C861" s="44"/>
      <c r="D861" s="44"/>
      <c r="E861" s="44"/>
      <c r="F861" s="44"/>
      <c r="G861" s="44"/>
      <c r="H861" s="44"/>
    </row>
    <row r="862" spans="1:8">
      <c r="A862" s="44"/>
      <c r="B862" s="44"/>
      <c r="C862" s="44"/>
      <c r="D862" s="44"/>
      <c r="E862" s="44"/>
      <c r="F862" s="44"/>
      <c r="G862" s="44"/>
      <c r="H862" s="44"/>
    </row>
    <row r="863" spans="1:8">
      <c r="A863" s="44"/>
      <c r="B863" s="44"/>
      <c r="C863" s="44"/>
      <c r="D863" s="44"/>
      <c r="E863" s="44"/>
      <c r="F863" s="44"/>
      <c r="G863" s="44"/>
      <c r="H863" s="44"/>
    </row>
    <row r="864" spans="1:8">
      <c r="A864" s="44"/>
      <c r="B864" s="44"/>
      <c r="C864" s="44"/>
      <c r="D864" s="44"/>
      <c r="E864" s="44"/>
      <c r="F864" s="44"/>
      <c r="G864" s="44"/>
      <c r="H864" s="44"/>
    </row>
    <row r="865" spans="1:8">
      <c r="A865" s="44"/>
      <c r="B865" s="44"/>
      <c r="C865" s="44"/>
      <c r="D865" s="44"/>
      <c r="E865" s="44"/>
      <c r="F865" s="44"/>
      <c r="G865" s="44"/>
      <c r="H865" s="44"/>
    </row>
    <row r="866" spans="1:8">
      <c r="A866" s="44"/>
      <c r="B866" s="44"/>
      <c r="C866" s="44"/>
      <c r="D866" s="44"/>
      <c r="E866" s="44"/>
      <c r="F866" s="44"/>
      <c r="G866" s="44"/>
      <c r="H866" s="44"/>
    </row>
    <row r="867" spans="1:8">
      <c r="A867" s="44"/>
      <c r="B867" s="44"/>
      <c r="C867" s="44"/>
      <c r="D867" s="44"/>
      <c r="E867" s="44"/>
      <c r="F867" s="44"/>
      <c r="G867" s="44"/>
      <c r="H867" s="44"/>
    </row>
    <row r="868" spans="1:8">
      <c r="A868" s="44"/>
      <c r="B868" s="44"/>
      <c r="C868" s="44"/>
      <c r="D868" s="44"/>
      <c r="E868" s="44"/>
      <c r="F868" s="44"/>
      <c r="G868" s="44"/>
      <c r="H868" s="44"/>
    </row>
    <row r="869" spans="1:8">
      <c r="A869" s="44"/>
      <c r="B869" s="44"/>
      <c r="C869" s="44"/>
      <c r="D869" s="44"/>
      <c r="E869" s="44"/>
      <c r="F869" s="44"/>
      <c r="G869" s="44"/>
      <c r="H869" s="44"/>
    </row>
    <row r="870" spans="1:8">
      <c r="A870" s="44"/>
      <c r="B870" s="44"/>
      <c r="C870" s="44"/>
      <c r="D870" s="44"/>
      <c r="E870" s="44"/>
      <c r="F870" s="44"/>
      <c r="G870" s="44"/>
      <c r="H870" s="44"/>
    </row>
    <row r="871" spans="1:8">
      <c r="A871" s="44"/>
      <c r="B871" s="44"/>
      <c r="C871" s="44"/>
      <c r="D871" s="44"/>
      <c r="E871" s="44"/>
      <c r="F871" s="44"/>
      <c r="G871" s="44"/>
      <c r="H871" s="44"/>
    </row>
    <row r="872" spans="1:8">
      <c r="A872" s="44"/>
      <c r="B872" s="44"/>
      <c r="C872" s="44"/>
      <c r="D872" s="44"/>
      <c r="E872" s="44"/>
      <c r="F872" s="44"/>
      <c r="G872" s="44"/>
      <c r="H872" s="44"/>
    </row>
    <row r="873" spans="1:8">
      <c r="A873" s="44"/>
      <c r="B873" s="44"/>
      <c r="C873" s="44"/>
      <c r="D873" s="44"/>
      <c r="E873" s="44"/>
      <c r="F873" s="44"/>
      <c r="G873" s="44"/>
      <c r="H873" s="44"/>
    </row>
    <row r="874" spans="1:8">
      <c r="A874" s="44"/>
      <c r="B874" s="44"/>
      <c r="C874" s="44"/>
      <c r="D874" s="44"/>
      <c r="E874" s="44"/>
      <c r="F874" s="44"/>
      <c r="G874" s="44"/>
      <c r="H874" s="44"/>
    </row>
    <row r="875" spans="1:8">
      <c r="A875" s="44"/>
      <c r="B875" s="44"/>
      <c r="C875" s="44"/>
      <c r="D875" s="44"/>
      <c r="E875" s="44"/>
      <c r="F875" s="44"/>
      <c r="G875" s="44"/>
      <c r="H875" s="44"/>
    </row>
    <row r="876" spans="1:8">
      <c r="A876" s="44"/>
      <c r="B876" s="44"/>
      <c r="C876" s="44"/>
      <c r="D876" s="44"/>
      <c r="E876" s="44"/>
      <c r="F876" s="44"/>
      <c r="G876" s="44"/>
      <c r="H876" s="44"/>
    </row>
    <row r="877" spans="1:8">
      <c r="A877" s="44"/>
      <c r="B877" s="44"/>
      <c r="C877" s="44"/>
      <c r="D877" s="44"/>
      <c r="E877" s="44"/>
      <c r="F877" s="44"/>
      <c r="G877" s="44"/>
      <c r="H877" s="44"/>
    </row>
    <row r="878" spans="1:8">
      <c r="A878" s="44"/>
      <c r="B878" s="44"/>
      <c r="C878" s="44"/>
      <c r="D878" s="44"/>
      <c r="E878" s="44"/>
      <c r="F878" s="44"/>
      <c r="G878" s="44"/>
      <c r="H878" s="44"/>
    </row>
    <row r="879" spans="1:8">
      <c r="A879" s="44"/>
      <c r="B879" s="44"/>
      <c r="C879" s="44"/>
      <c r="D879" s="44"/>
      <c r="E879" s="44"/>
      <c r="F879" s="44"/>
      <c r="G879" s="44"/>
      <c r="H879" s="44"/>
    </row>
    <row r="880" spans="1:8">
      <c r="A880" s="44"/>
      <c r="B880" s="44"/>
      <c r="C880" s="44"/>
      <c r="D880" s="44"/>
      <c r="E880" s="44"/>
      <c r="F880" s="44"/>
      <c r="G880" s="44"/>
      <c r="H880" s="44"/>
    </row>
    <row r="881" spans="1:8">
      <c r="A881" s="44"/>
      <c r="B881" s="44"/>
      <c r="C881" s="44"/>
      <c r="D881" s="44"/>
      <c r="E881" s="44"/>
      <c r="F881" s="44"/>
      <c r="G881" s="44"/>
      <c r="H881" s="44"/>
    </row>
    <row r="882" spans="1:8">
      <c r="A882" s="44"/>
      <c r="B882" s="44"/>
      <c r="C882" s="44"/>
      <c r="D882" s="44"/>
      <c r="E882" s="44"/>
      <c r="F882" s="44"/>
      <c r="G882" s="44"/>
      <c r="H882" s="44"/>
    </row>
    <row r="883" spans="1:8">
      <c r="A883" s="44"/>
      <c r="B883" s="44"/>
      <c r="C883" s="44"/>
      <c r="D883" s="44"/>
      <c r="E883" s="44"/>
      <c r="F883" s="44"/>
      <c r="G883" s="44"/>
      <c r="H883" s="44"/>
    </row>
    <row r="884" spans="1:8">
      <c r="A884" s="44"/>
      <c r="B884" s="44"/>
      <c r="C884" s="44"/>
      <c r="D884" s="44"/>
      <c r="E884" s="44"/>
      <c r="F884" s="44"/>
      <c r="G884" s="44"/>
      <c r="H884" s="44"/>
    </row>
    <row r="885" spans="1:8">
      <c r="A885" s="44"/>
      <c r="B885" s="44"/>
      <c r="C885" s="44"/>
      <c r="D885" s="44"/>
      <c r="E885" s="44"/>
      <c r="F885" s="44"/>
      <c r="G885" s="44"/>
      <c r="H885" s="44"/>
    </row>
    <row r="886" spans="1:8">
      <c r="A886" s="44"/>
      <c r="B886" s="44"/>
      <c r="C886" s="44"/>
      <c r="D886" s="44"/>
      <c r="E886" s="44"/>
      <c r="F886" s="44"/>
      <c r="G886" s="44"/>
      <c r="H886" s="44"/>
    </row>
    <row r="887" spans="1:8">
      <c r="A887" s="44"/>
      <c r="B887" s="44"/>
      <c r="C887" s="44"/>
      <c r="D887" s="44"/>
      <c r="E887" s="44"/>
      <c r="F887" s="44"/>
      <c r="G887" s="44"/>
      <c r="H887" s="44"/>
    </row>
    <row r="888" spans="1:8">
      <c r="A888" s="44"/>
      <c r="B888" s="44"/>
      <c r="C888" s="44"/>
      <c r="D888" s="44"/>
      <c r="E888" s="44"/>
      <c r="F888" s="44"/>
      <c r="G888" s="44"/>
      <c r="H888" s="44"/>
    </row>
    <row r="889" spans="1:8">
      <c r="A889" s="44"/>
      <c r="B889" s="44"/>
      <c r="C889" s="44"/>
      <c r="D889" s="44"/>
      <c r="E889" s="44"/>
      <c r="F889" s="44"/>
      <c r="G889" s="44"/>
      <c r="H889" s="44"/>
    </row>
    <row r="890" spans="1:8">
      <c r="A890" s="44"/>
      <c r="B890" s="44"/>
      <c r="C890" s="44"/>
      <c r="D890" s="44"/>
      <c r="E890" s="44"/>
      <c r="F890" s="44"/>
      <c r="G890" s="44"/>
      <c r="H890" s="44"/>
    </row>
    <row r="891" spans="1:8">
      <c r="A891" s="44"/>
      <c r="B891" s="44"/>
      <c r="C891" s="44"/>
      <c r="D891" s="44"/>
      <c r="E891" s="44"/>
      <c r="F891" s="44"/>
      <c r="G891" s="44"/>
      <c r="H891" s="44"/>
    </row>
    <row r="892" spans="1:8">
      <c r="A892" s="44"/>
      <c r="B892" s="44"/>
      <c r="C892" s="44"/>
      <c r="D892" s="44"/>
      <c r="E892" s="44"/>
      <c r="F892" s="44"/>
      <c r="G892" s="44"/>
      <c r="H892" s="44"/>
    </row>
    <row r="893" spans="1:8">
      <c r="A893" s="44"/>
      <c r="B893" s="44"/>
      <c r="C893" s="44"/>
      <c r="D893" s="44"/>
      <c r="E893" s="44"/>
      <c r="F893" s="44"/>
      <c r="G893" s="44"/>
      <c r="H893" s="44"/>
    </row>
    <row r="894" spans="1:8">
      <c r="A894" s="44"/>
      <c r="B894" s="44"/>
      <c r="C894" s="44"/>
      <c r="D894" s="44"/>
      <c r="E894" s="44"/>
      <c r="F894" s="44"/>
      <c r="G894" s="44"/>
      <c r="H894" s="44"/>
    </row>
    <row r="895" spans="1:8">
      <c r="A895" s="44"/>
      <c r="B895" s="44"/>
      <c r="C895" s="44"/>
      <c r="D895" s="44"/>
      <c r="E895" s="44"/>
      <c r="F895" s="44"/>
      <c r="G895" s="44"/>
      <c r="H895" s="44"/>
    </row>
    <row r="896" spans="1:8">
      <c r="A896" s="44"/>
      <c r="B896" s="44"/>
      <c r="C896" s="44"/>
      <c r="D896" s="44"/>
      <c r="E896" s="44"/>
      <c r="F896" s="44"/>
      <c r="G896" s="44"/>
      <c r="H896" s="44"/>
    </row>
    <row r="897" spans="1:8">
      <c r="A897" s="44"/>
      <c r="B897" s="44"/>
      <c r="C897" s="44"/>
      <c r="D897" s="44"/>
      <c r="E897" s="44"/>
      <c r="F897" s="44"/>
      <c r="G897" s="44"/>
      <c r="H897" s="44"/>
    </row>
    <row r="898" spans="1:8">
      <c r="A898" s="44"/>
      <c r="B898" s="44"/>
      <c r="C898" s="44"/>
      <c r="D898" s="44"/>
      <c r="E898" s="44"/>
      <c r="F898" s="44"/>
      <c r="G898" s="44"/>
      <c r="H898" s="44"/>
    </row>
    <row r="899" spans="1:8">
      <c r="A899" s="44"/>
      <c r="B899" s="44"/>
      <c r="C899" s="44"/>
      <c r="D899" s="44"/>
      <c r="E899" s="44"/>
      <c r="F899" s="44"/>
      <c r="G899" s="44"/>
      <c r="H899" s="44"/>
    </row>
    <row r="900" spans="1:8">
      <c r="A900" s="44"/>
      <c r="B900" s="44"/>
      <c r="C900" s="44"/>
      <c r="D900" s="44"/>
      <c r="E900" s="44"/>
      <c r="F900" s="44"/>
      <c r="G900" s="44"/>
      <c r="H900" s="44"/>
    </row>
    <row r="901" spans="1:8">
      <c r="A901" s="44"/>
      <c r="B901" s="44"/>
      <c r="C901" s="44"/>
      <c r="D901" s="44"/>
      <c r="E901" s="44"/>
      <c r="F901" s="44"/>
      <c r="G901" s="44"/>
      <c r="H901" s="44"/>
    </row>
    <row r="902" spans="1:8">
      <c r="A902" s="44"/>
      <c r="B902" s="44"/>
      <c r="C902" s="44"/>
      <c r="D902" s="44"/>
      <c r="E902" s="44"/>
      <c r="F902" s="44"/>
      <c r="G902" s="44"/>
      <c r="H902" s="44"/>
    </row>
    <row r="903" spans="1:8">
      <c r="A903" s="44"/>
      <c r="B903" s="44"/>
      <c r="C903" s="44"/>
      <c r="D903" s="44"/>
      <c r="E903" s="44"/>
      <c r="F903" s="44"/>
      <c r="G903" s="44"/>
      <c r="H903" s="44"/>
    </row>
    <row r="904" spans="1:8">
      <c r="A904" s="44"/>
      <c r="B904" s="44"/>
      <c r="C904" s="44"/>
      <c r="D904" s="44"/>
      <c r="E904" s="44"/>
      <c r="F904" s="44"/>
      <c r="G904" s="44"/>
      <c r="H904" s="44"/>
    </row>
    <row r="905" spans="1:8">
      <c r="A905" s="44"/>
      <c r="B905" s="44"/>
      <c r="C905" s="44"/>
      <c r="D905" s="44"/>
      <c r="E905" s="44"/>
      <c r="F905" s="44"/>
      <c r="G905" s="44"/>
      <c r="H905" s="44"/>
    </row>
    <row r="906" spans="1:8">
      <c r="A906" s="44"/>
      <c r="B906" s="44"/>
      <c r="C906" s="44"/>
      <c r="D906" s="44"/>
      <c r="E906" s="44"/>
      <c r="F906" s="44"/>
      <c r="G906" s="44"/>
      <c r="H906" s="44"/>
    </row>
    <row r="907" spans="1:8">
      <c r="A907" s="44"/>
      <c r="B907" s="44"/>
      <c r="C907" s="44"/>
      <c r="D907" s="44"/>
      <c r="E907" s="44"/>
      <c r="F907" s="44"/>
      <c r="G907" s="44"/>
      <c r="H907" s="44"/>
    </row>
    <row r="908" spans="1:8">
      <c r="A908" s="44"/>
      <c r="B908" s="44"/>
      <c r="C908" s="44"/>
      <c r="D908" s="44"/>
      <c r="E908" s="44"/>
      <c r="F908" s="44"/>
      <c r="G908" s="44"/>
      <c r="H908" s="44"/>
    </row>
    <row r="909" spans="1:8">
      <c r="A909" s="44"/>
      <c r="B909" s="44"/>
      <c r="C909" s="44"/>
      <c r="D909" s="44"/>
      <c r="E909" s="44"/>
      <c r="F909" s="44"/>
      <c r="G909" s="44"/>
      <c r="H909" s="44"/>
    </row>
    <row r="910" spans="1:8">
      <c r="A910" s="44"/>
      <c r="B910" s="44"/>
      <c r="C910" s="44"/>
      <c r="D910" s="44"/>
      <c r="E910" s="44"/>
      <c r="F910" s="44"/>
      <c r="G910" s="44"/>
      <c r="H910" s="44"/>
    </row>
    <row r="911" spans="1:8">
      <c r="A911" s="44"/>
      <c r="B911" s="44"/>
      <c r="C911" s="44"/>
      <c r="D911" s="44"/>
      <c r="E911" s="44"/>
      <c r="F911" s="44"/>
      <c r="G911" s="44"/>
      <c r="H911" s="44"/>
    </row>
    <row r="912" spans="1:8">
      <c r="A912" s="44"/>
      <c r="B912" s="44"/>
      <c r="C912" s="44"/>
      <c r="D912" s="44"/>
      <c r="E912" s="44"/>
      <c r="F912" s="44"/>
      <c r="G912" s="44"/>
      <c r="H912" s="44"/>
    </row>
    <row r="913" spans="1:8">
      <c r="A913" s="44"/>
      <c r="B913" s="44"/>
      <c r="C913" s="44"/>
      <c r="D913" s="44"/>
      <c r="E913" s="44"/>
      <c r="F913" s="44"/>
      <c r="G913" s="44"/>
      <c r="H913" s="44"/>
    </row>
    <row r="914" spans="1:8">
      <c r="A914" s="44"/>
      <c r="B914" s="44"/>
      <c r="C914" s="44"/>
      <c r="D914" s="44"/>
      <c r="E914" s="44"/>
      <c r="F914" s="44"/>
      <c r="G914" s="44"/>
      <c r="H914" s="44"/>
    </row>
    <row r="915" spans="1:8">
      <c r="A915" s="44"/>
      <c r="B915" s="44"/>
      <c r="C915" s="44"/>
      <c r="D915" s="44"/>
      <c r="E915" s="44"/>
      <c r="F915" s="44"/>
      <c r="G915" s="44"/>
      <c r="H915" s="44"/>
    </row>
    <row r="916" spans="1:8">
      <c r="A916" s="44"/>
      <c r="B916" s="44"/>
      <c r="C916" s="44"/>
      <c r="D916" s="44"/>
      <c r="E916" s="44"/>
      <c r="F916" s="44"/>
      <c r="G916" s="44"/>
      <c r="H916" s="44"/>
    </row>
    <row r="917" spans="1:8">
      <c r="A917" s="44"/>
      <c r="B917" s="44"/>
      <c r="C917" s="44"/>
      <c r="D917" s="44"/>
      <c r="E917" s="44"/>
      <c r="F917" s="44"/>
      <c r="G917" s="44"/>
      <c r="H917" s="44"/>
    </row>
    <row r="918" spans="1:8">
      <c r="A918" s="44"/>
      <c r="B918" s="44"/>
      <c r="C918" s="44"/>
      <c r="D918" s="44"/>
      <c r="E918" s="44"/>
      <c r="F918" s="44"/>
      <c r="G918" s="44"/>
      <c r="H918" s="44"/>
    </row>
    <row r="919" spans="1:8">
      <c r="A919" s="44"/>
      <c r="B919" s="44"/>
      <c r="C919" s="44"/>
      <c r="D919" s="44"/>
      <c r="E919" s="44"/>
      <c r="F919" s="44"/>
      <c r="G919" s="44"/>
      <c r="H919" s="44"/>
    </row>
    <row r="920" spans="1:8">
      <c r="A920" s="44"/>
      <c r="B920" s="44"/>
      <c r="C920" s="44"/>
      <c r="D920" s="44"/>
      <c r="E920" s="44"/>
      <c r="F920" s="44"/>
      <c r="G920" s="44"/>
      <c r="H920" s="44"/>
    </row>
    <row r="921" spans="1:8">
      <c r="A921" s="44"/>
      <c r="B921" s="44"/>
      <c r="C921" s="44"/>
      <c r="D921" s="44"/>
      <c r="E921" s="44"/>
      <c r="F921" s="44"/>
      <c r="G921" s="44"/>
      <c r="H921" s="44"/>
    </row>
    <row r="922" spans="1:8">
      <c r="A922" s="44"/>
      <c r="B922" s="44"/>
      <c r="C922" s="44"/>
      <c r="D922" s="44"/>
      <c r="E922" s="44"/>
      <c r="F922" s="44"/>
      <c r="G922" s="44"/>
      <c r="H922" s="44"/>
    </row>
    <row r="923" spans="1:8">
      <c r="A923" s="44"/>
      <c r="B923" s="44"/>
      <c r="C923" s="44"/>
      <c r="D923" s="44"/>
      <c r="E923" s="44"/>
      <c r="F923" s="44"/>
      <c r="G923" s="44"/>
      <c r="H923" s="44"/>
    </row>
    <row r="924" spans="1:8">
      <c r="A924" s="44"/>
      <c r="B924" s="44"/>
      <c r="C924" s="44"/>
      <c r="D924" s="44"/>
      <c r="E924" s="44"/>
      <c r="F924" s="44"/>
      <c r="G924" s="44"/>
      <c r="H924" s="44"/>
    </row>
    <row r="925" spans="1:8">
      <c r="A925" s="44"/>
      <c r="B925" s="44"/>
      <c r="C925" s="44"/>
      <c r="D925" s="44"/>
      <c r="E925" s="44"/>
      <c r="F925" s="44"/>
      <c r="G925" s="44"/>
      <c r="H925" s="44"/>
    </row>
    <row r="926" spans="1:8">
      <c r="A926" s="44"/>
      <c r="B926" s="44"/>
      <c r="C926" s="44"/>
      <c r="D926" s="44"/>
      <c r="E926" s="44"/>
      <c r="F926" s="44"/>
      <c r="G926" s="44"/>
      <c r="H926" s="44"/>
    </row>
    <row r="927" spans="1:8">
      <c r="A927" s="44"/>
      <c r="B927" s="44"/>
      <c r="C927" s="44"/>
      <c r="D927" s="44"/>
      <c r="E927" s="44"/>
      <c r="F927" s="44"/>
      <c r="G927" s="44"/>
      <c r="H927" s="44"/>
    </row>
    <row r="928" spans="1:8">
      <c r="A928" s="44"/>
      <c r="B928" s="44"/>
      <c r="C928" s="44"/>
      <c r="D928" s="44"/>
      <c r="E928" s="44"/>
      <c r="F928" s="44"/>
      <c r="G928" s="44"/>
      <c r="H928" s="44"/>
    </row>
    <row r="929" spans="1:8">
      <c r="A929" s="44"/>
      <c r="B929" s="44"/>
      <c r="C929" s="44"/>
      <c r="D929" s="44"/>
      <c r="E929" s="44"/>
      <c r="F929" s="44"/>
      <c r="G929" s="44"/>
      <c r="H929" s="44"/>
    </row>
    <row r="930" spans="1:8">
      <c r="A930" s="44"/>
      <c r="B930" s="44"/>
      <c r="C930" s="44"/>
      <c r="D930" s="44"/>
      <c r="E930" s="44"/>
      <c r="F930" s="44"/>
      <c r="G930" s="44"/>
      <c r="H930" s="44"/>
    </row>
    <row r="931" spans="1:8">
      <c r="A931" s="44"/>
      <c r="B931" s="44"/>
      <c r="C931" s="44"/>
      <c r="D931" s="44"/>
      <c r="E931" s="44"/>
      <c r="F931" s="44"/>
      <c r="G931" s="44"/>
      <c r="H931" s="44"/>
    </row>
    <row r="932" spans="1:8">
      <c r="A932" s="44"/>
      <c r="B932" s="44"/>
      <c r="C932" s="44"/>
      <c r="D932" s="44"/>
      <c r="E932" s="44"/>
      <c r="F932" s="44"/>
      <c r="G932" s="44"/>
      <c r="H932" s="44"/>
    </row>
    <row r="933" spans="1:8">
      <c r="A933" s="44"/>
      <c r="B933" s="44"/>
      <c r="C933" s="44"/>
      <c r="D933" s="44"/>
      <c r="E933" s="44"/>
      <c r="F933" s="44"/>
      <c r="G933" s="44"/>
      <c r="H933" s="44"/>
    </row>
    <row r="934" spans="1:8">
      <c r="A934" s="44"/>
      <c r="B934" s="44"/>
      <c r="C934" s="44"/>
      <c r="D934" s="44"/>
      <c r="E934" s="44"/>
      <c r="F934" s="44"/>
      <c r="G934" s="44"/>
      <c r="H934" s="44"/>
    </row>
    <row r="935" spans="1:8">
      <c r="A935" s="44"/>
      <c r="B935" s="44"/>
      <c r="C935" s="44"/>
      <c r="D935" s="44"/>
      <c r="E935" s="44"/>
      <c r="F935" s="44"/>
      <c r="G935" s="44"/>
      <c r="H935" s="44"/>
    </row>
    <row r="936" spans="1:8">
      <c r="A936" s="44"/>
      <c r="B936" s="44"/>
      <c r="C936" s="44"/>
      <c r="D936" s="44"/>
      <c r="E936" s="44"/>
      <c r="F936" s="44"/>
      <c r="G936" s="44"/>
      <c r="H936" s="44"/>
    </row>
    <row r="937" spans="1:8">
      <c r="A937" s="44"/>
      <c r="B937" s="44"/>
      <c r="C937" s="44"/>
      <c r="D937" s="44"/>
      <c r="E937" s="44"/>
      <c r="F937" s="44"/>
      <c r="G937" s="44"/>
      <c r="H937" s="44"/>
    </row>
    <row r="938" spans="1:8">
      <c r="A938" s="44"/>
      <c r="B938" s="44"/>
      <c r="C938" s="44"/>
      <c r="D938" s="44"/>
      <c r="E938" s="44"/>
      <c r="F938" s="44"/>
      <c r="G938" s="44"/>
      <c r="H938" s="44"/>
    </row>
    <row r="939" spans="1:8">
      <c r="A939" s="44"/>
      <c r="B939" s="44"/>
      <c r="C939" s="44"/>
      <c r="D939" s="44"/>
      <c r="E939" s="44"/>
      <c r="F939" s="44"/>
      <c r="G939" s="44"/>
      <c r="H939" s="44"/>
    </row>
    <row r="940" spans="1:8">
      <c r="A940" s="44"/>
      <c r="B940" s="44"/>
      <c r="C940" s="44"/>
      <c r="D940" s="44"/>
      <c r="E940" s="44"/>
      <c r="F940" s="44"/>
      <c r="G940" s="44"/>
      <c r="H940" s="44"/>
    </row>
    <row r="941" spans="1:8">
      <c r="A941" s="44"/>
      <c r="B941" s="44"/>
      <c r="C941" s="44"/>
      <c r="D941" s="44"/>
      <c r="E941" s="44"/>
      <c r="F941" s="44"/>
      <c r="G941" s="44"/>
      <c r="H941" s="44"/>
    </row>
    <row r="942" spans="1:8">
      <c r="A942" s="44"/>
      <c r="B942" s="44"/>
      <c r="C942" s="44"/>
      <c r="D942" s="44"/>
      <c r="E942" s="44"/>
      <c r="F942" s="44"/>
      <c r="G942" s="44"/>
      <c r="H942" s="44"/>
    </row>
    <row r="943" spans="1:8">
      <c r="A943" s="44"/>
      <c r="B943" s="44"/>
      <c r="C943" s="44"/>
      <c r="D943" s="44"/>
      <c r="E943" s="44"/>
      <c r="F943" s="44"/>
      <c r="G943" s="44"/>
      <c r="H943" s="44"/>
    </row>
    <row r="944" spans="1:8">
      <c r="A944" s="44"/>
      <c r="B944" s="44"/>
      <c r="C944" s="44"/>
      <c r="D944" s="44"/>
      <c r="E944" s="44"/>
      <c r="F944" s="44"/>
      <c r="G944" s="44"/>
      <c r="H944" s="44"/>
    </row>
    <row r="945" spans="1:8">
      <c r="A945" s="44"/>
      <c r="B945" s="44"/>
      <c r="C945" s="44"/>
      <c r="D945" s="44"/>
      <c r="E945" s="44"/>
      <c r="F945" s="44"/>
      <c r="G945" s="44"/>
      <c r="H945" s="44"/>
    </row>
    <row r="946" spans="1:8">
      <c r="A946" s="44"/>
      <c r="B946" s="44"/>
      <c r="C946" s="44"/>
      <c r="D946" s="44"/>
      <c r="E946" s="44"/>
      <c r="F946" s="44"/>
      <c r="G946" s="44"/>
      <c r="H946" s="44"/>
    </row>
    <row r="947" spans="1:8">
      <c r="A947" s="44"/>
      <c r="B947" s="44"/>
      <c r="C947" s="44"/>
      <c r="D947" s="44"/>
      <c r="E947" s="44"/>
      <c r="F947" s="44"/>
      <c r="G947" s="44"/>
      <c r="H947" s="44"/>
    </row>
    <row r="948" spans="1:8">
      <c r="A948" s="44"/>
      <c r="B948" s="44"/>
      <c r="C948" s="44"/>
      <c r="D948" s="44"/>
      <c r="E948" s="44"/>
      <c r="F948" s="44"/>
      <c r="G948" s="44"/>
      <c r="H948" s="44"/>
    </row>
    <row r="949" spans="1:8">
      <c r="A949" s="44"/>
      <c r="B949" s="44"/>
      <c r="C949" s="44"/>
      <c r="D949" s="44"/>
      <c r="E949" s="44"/>
      <c r="F949" s="44"/>
      <c r="G949" s="44"/>
      <c r="H949" s="44"/>
    </row>
    <row r="950" spans="1:8">
      <c r="A950" s="44"/>
      <c r="B950" s="44"/>
      <c r="C950" s="44"/>
      <c r="D950" s="44"/>
      <c r="E950" s="44"/>
      <c r="F950" s="44"/>
      <c r="G950" s="44"/>
      <c r="H950" s="44"/>
    </row>
    <row r="951" spans="1:8">
      <c r="A951" s="44"/>
      <c r="B951" s="44"/>
      <c r="C951" s="44"/>
      <c r="D951" s="44"/>
      <c r="E951" s="44"/>
      <c r="F951" s="44"/>
      <c r="G951" s="44"/>
      <c r="H951" s="44"/>
    </row>
    <row r="952" spans="1:8">
      <c r="A952" s="44"/>
      <c r="B952" s="44"/>
      <c r="C952" s="44"/>
      <c r="D952" s="44"/>
      <c r="E952" s="44"/>
      <c r="F952" s="44"/>
      <c r="G952" s="44"/>
      <c r="H952" s="44"/>
    </row>
    <row r="953" spans="1:8">
      <c r="A953" s="44"/>
      <c r="B953" s="44"/>
      <c r="C953" s="44"/>
      <c r="D953" s="44"/>
      <c r="E953" s="44"/>
      <c r="F953" s="44"/>
      <c r="G953" s="44"/>
      <c r="H953" s="44"/>
    </row>
    <row r="954" spans="1:8">
      <c r="A954" s="44"/>
      <c r="B954" s="44"/>
      <c r="C954" s="44"/>
      <c r="D954" s="44"/>
      <c r="E954" s="44"/>
      <c r="F954" s="44"/>
      <c r="G954" s="44"/>
      <c r="H954" s="44"/>
    </row>
    <row r="955" spans="1:8">
      <c r="A955" s="44"/>
      <c r="B955" s="44"/>
      <c r="C955" s="44"/>
      <c r="D955" s="44"/>
      <c r="E955" s="44"/>
      <c r="F955" s="44"/>
      <c r="G955" s="44"/>
      <c r="H955" s="44"/>
    </row>
    <row r="956" spans="1:8">
      <c r="A956" s="44"/>
      <c r="B956" s="44"/>
      <c r="C956" s="44"/>
      <c r="D956" s="44"/>
      <c r="E956" s="44"/>
      <c r="F956" s="44"/>
      <c r="G956" s="44"/>
      <c r="H956" s="44"/>
    </row>
    <row r="957" spans="1:8">
      <c r="A957" s="44"/>
      <c r="B957" s="44"/>
      <c r="C957" s="44"/>
      <c r="D957" s="44"/>
      <c r="E957" s="44"/>
      <c r="F957" s="44"/>
      <c r="G957" s="44"/>
      <c r="H957" s="44"/>
    </row>
    <row r="958" spans="1:8">
      <c r="A958" s="44"/>
      <c r="B958" s="44"/>
      <c r="C958" s="44"/>
      <c r="D958" s="44"/>
      <c r="E958" s="44"/>
      <c r="F958" s="44"/>
      <c r="G958" s="44"/>
      <c r="H958" s="44"/>
    </row>
    <row r="959" spans="1:8">
      <c r="A959" s="44"/>
      <c r="B959" s="44"/>
      <c r="C959" s="44"/>
      <c r="D959" s="44"/>
      <c r="E959" s="44"/>
      <c r="F959" s="44"/>
      <c r="G959" s="44"/>
      <c r="H959" s="44"/>
    </row>
    <row r="960" spans="1:8">
      <c r="A960" s="44"/>
      <c r="B960" s="44"/>
      <c r="C960" s="44"/>
      <c r="D960" s="44"/>
      <c r="E960" s="44"/>
      <c r="F960" s="44"/>
      <c r="G960" s="44"/>
      <c r="H960" s="44"/>
    </row>
    <row r="961" spans="1:8">
      <c r="A961" s="44"/>
      <c r="B961" s="44"/>
      <c r="C961" s="44"/>
      <c r="D961" s="44"/>
      <c r="E961" s="44"/>
      <c r="F961" s="44"/>
      <c r="G961" s="44"/>
      <c r="H961" s="44"/>
    </row>
    <row r="962" spans="1:8">
      <c r="A962" s="44"/>
      <c r="B962" s="44"/>
      <c r="C962" s="44"/>
      <c r="D962" s="44"/>
      <c r="E962" s="44"/>
      <c r="F962" s="44"/>
      <c r="G962" s="44"/>
      <c r="H962" s="44"/>
    </row>
    <row r="963" spans="1:8">
      <c r="A963" s="44"/>
      <c r="B963" s="44"/>
      <c r="C963" s="44"/>
      <c r="D963" s="44"/>
      <c r="E963" s="44"/>
      <c r="F963" s="44"/>
      <c r="G963" s="44"/>
      <c r="H963" s="44"/>
    </row>
    <row r="964" spans="1:8">
      <c r="A964" s="44"/>
      <c r="B964" s="44"/>
      <c r="C964" s="44"/>
      <c r="D964" s="44"/>
      <c r="E964" s="44"/>
      <c r="F964" s="44"/>
      <c r="G964" s="44"/>
      <c r="H964" s="44"/>
    </row>
    <row r="965" spans="1:8">
      <c r="A965" s="44"/>
      <c r="B965" s="44"/>
      <c r="C965" s="44"/>
      <c r="D965" s="44"/>
      <c r="E965" s="44"/>
      <c r="F965" s="44"/>
      <c r="G965" s="44"/>
      <c r="H965" s="44"/>
    </row>
    <row r="966" spans="1:8">
      <c r="A966" s="44"/>
      <c r="B966" s="44"/>
      <c r="C966" s="44"/>
      <c r="D966" s="44"/>
      <c r="E966" s="44"/>
      <c r="F966" s="44"/>
      <c r="G966" s="44"/>
      <c r="H966" s="44"/>
    </row>
    <row r="967" spans="1:8">
      <c r="A967" s="44"/>
      <c r="B967" s="44"/>
      <c r="C967" s="44"/>
      <c r="D967" s="44"/>
      <c r="E967" s="44"/>
      <c r="F967" s="44"/>
      <c r="G967" s="44"/>
      <c r="H967" s="44"/>
    </row>
    <row r="968" spans="1:8">
      <c r="A968" s="44"/>
      <c r="B968" s="44"/>
      <c r="C968" s="44"/>
      <c r="D968" s="44"/>
      <c r="E968" s="44"/>
      <c r="F968" s="44"/>
      <c r="G968" s="44"/>
      <c r="H968" s="44"/>
    </row>
    <row r="969" spans="1:8">
      <c r="A969" s="44"/>
      <c r="B969" s="44"/>
      <c r="C969" s="44"/>
      <c r="D969" s="44"/>
      <c r="E969" s="44"/>
      <c r="F969" s="44"/>
      <c r="G969" s="44"/>
      <c r="H969" s="44"/>
    </row>
    <row r="970" spans="1:8">
      <c r="A970" s="44"/>
      <c r="B970" s="44"/>
      <c r="C970" s="44"/>
      <c r="D970" s="44"/>
      <c r="E970" s="44"/>
      <c r="F970" s="44"/>
      <c r="G970" s="44"/>
      <c r="H970" s="44"/>
    </row>
    <row r="971" spans="1:8">
      <c r="A971" s="44"/>
      <c r="B971" s="44"/>
      <c r="C971" s="44"/>
      <c r="D971" s="44"/>
      <c r="E971" s="44"/>
      <c r="F971" s="44"/>
      <c r="G971" s="44"/>
      <c r="H971" s="44"/>
    </row>
    <row r="972" spans="1:8">
      <c r="A972" s="44"/>
      <c r="B972" s="44"/>
      <c r="C972" s="44"/>
      <c r="D972" s="44"/>
      <c r="E972" s="44"/>
      <c r="F972" s="44"/>
      <c r="G972" s="44"/>
      <c r="H972" s="44"/>
    </row>
    <row r="973" spans="1:8">
      <c r="A973" s="44"/>
      <c r="B973" s="44"/>
      <c r="C973" s="44"/>
      <c r="D973" s="44"/>
      <c r="E973" s="44"/>
      <c r="F973" s="44"/>
      <c r="G973" s="44"/>
      <c r="H973" s="44"/>
    </row>
    <row r="974" spans="1:8">
      <c r="A974" s="44"/>
      <c r="B974" s="44"/>
      <c r="C974" s="44"/>
      <c r="D974" s="44"/>
      <c r="E974" s="44"/>
      <c r="F974" s="44"/>
      <c r="G974" s="44"/>
      <c r="H974" s="44"/>
    </row>
    <row r="975" spans="1:8">
      <c r="A975" s="44"/>
      <c r="B975" s="44"/>
      <c r="C975" s="44"/>
      <c r="D975" s="44"/>
      <c r="E975" s="44"/>
      <c r="F975" s="44"/>
      <c r="G975" s="44"/>
      <c r="H975" s="44"/>
    </row>
    <row r="976" spans="1:8">
      <c r="A976" s="44"/>
      <c r="B976" s="44"/>
      <c r="C976" s="44"/>
      <c r="D976" s="44"/>
      <c r="E976" s="44"/>
      <c r="F976" s="44"/>
      <c r="G976" s="44"/>
      <c r="H976" s="44"/>
    </row>
    <row r="977" spans="1:8">
      <c r="A977" s="44"/>
      <c r="B977" s="44"/>
      <c r="C977" s="44"/>
      <c r="D977" s="44"/>
      <c r="E977" s="44"/>
      <c r="F977" s="44"/>
      <c r="G977" s="44"/>
      <c r="H977" s="44"/>
    </row>
    <row r="978" spans="1:8">
      <c r="A978" s="44"/>
      <c r="B978" s="44"/>
      <c r="C978" s="44"/>
      <c r="D978" s="44"/>
      <c r="E978" s="44"/>
      <c r="F978" s="44"/>
      <c r="G978" s="44"/>
      <c r="H978" s="44"/>
    </row>
    <row r="979" spans="1:8">
      <c r="A979" s="44"/>
      <c r="B979" s="44"/>
      <c r="C979" s="44"/>
      <c r="D979" s="44"/>
      <c r="E979" s="44"/>
      <c r="F979" s="44"/>
      <c r="G979" s="44"/>
      <c r="H979" s="44"/>
    </row>
    <row r="980" spans="1:8">
      <c r="A980" s="44"/>
      <c r="B980" s="44"/>
      <c r="C980" s="44"/>
      <c r="D980" s="44"/>
      <c r="E980" s="44"/>
      <c r="F980" s="44"/>
      <c r="G980" s="44"/>
      <c r="H980" s="44"/>
    </row>
    <row r="981" spans="1:8">
      <c r="A981" s="44"/>
      <c r="B981" s="44"/>
      <c r="C981" s="44"/>
      <c r="D981" s="44"/>
      <c r="E981" s="44"/>
      <c r="F981" s="44"/>
      <c r="G981" s="44"/>
      <c r="H981" s="44"/>
    </row>
    <row r="982" spans="1:8">
      <c r="A982" s="44"/>
      <c r="B982" s="44"/>
      <c r="C982" s="44"/>
      <c r="D982" s="44"/>
      <c r="E982" s="44"/>
      <c r="F982" s="44"/>
      <c r="G982" s="44"/>
      <c r="H982" s="44"/>
    </row>
    <row r="983" spans="1:8">
      <c r="A983" s="44"/>
      <c r="B983" s="44"/>
      <c r="C983" s="44"/>
      <c r="D983" s="44"/>
      <c r="E983" s="44"/>
      <c r="F983" s="44"/>
      <c r="G983" s="44"/>
      <c r="H983" s="44"/>
    </row>
    <row r="984" spans="1:8">
      <c r="A984" s="44"/>
      <c r="B984" s="44"/>
      <c r="C984" s="44"/>
      <c r="D984" s="44"/>
      <c r="E984" s="44"/>
      <c r="F984" s="44"/>
      <c r="G984" s="44"/>
      <c r="H984" s="44"/>
    </row>
    <row r="985" spans="1:8">
      <c r="A985" s="44"/>
      <c r="B985" s="44"/>
      <c r="C985" s="44"/>
      <c r="D985" s="44"/>
      <c r="E985" s="44"/>
      <c r="F985" s="44"/>
      <c r="G985" s="44"/>
      <c r="H985" s="44"/>
    </row>
    <row r="986" spans="1:8">
      <c r="A986" s="44"/>
      <c r="B986" s="44"/>
      <c r="C986" s="44"/>
      <c r="D986" s="44"/>
      <c r="E986" s="44"/>
      <c r="F986" s="44"/>
      <c r="G986" s="44"/>
      <c r="H986" s="44"/>
    </row>
    <row r="987" spans="1:8">
      <c r="A987" s="44"/>
      <c r="B987" s="44"/>
      <c r="C987" s="44"/>
      <c r="D987" s="44"/>
      <c r="E987" s="44"/>
      <c r="F987" s="44"/>
      <c r="G987" s="44"/>
      <c r="H987" s="44"/>
    </row>
    <row r="988" spans="1:8">
      <c r="A988" s="44"/>
      <c r="B988" s="44"/>
      <c r="C988" s="44"/>
      <c r="D988" s="44"/>
      <c r="E988" s="44"/>
      <c r="F988" s="44"/>
      <c r="G988" s="44"/>
      <c r="H988" s="44"/>
    </row>
    <row r="989" spans="1:8">
      <c r="A989" s="44"/>
      <c r="B989" s="44"/>
      <c r="C989" s="44"/>
      <c r="D989" s="44"/>
      <c r="E989" s="44"/>
      <c r="F989" s="44"/>
      <c r="G989" s="44"/>
      <c r="H989" s="44"/>
    </row>
    <row r="990" spans="1:8">
      <c r="A990" s="44"/>
      <c r="B990" s="44"/>
      <c r="C990" s="44"/>
      <c r="D990" s="44"/>
      <c r="E990" s="44"/>
      <c r="F990" s="44"/>
      <c r="G990" s="44"/>
      <c r="H990" s="44"/>
    </row>
    <row r="991" spans="1:8">
      <c r="A991" s="44"/>
      <c r="B991" s="44"/>
      <c r="C991" s="44"/>
      <c r="D991" s="44"/>
      <c r="E991" s="44"/>
      <c r="F991" s="44"/>
      <c r="G991" s="44"/>
      <c r="H991" s="44"/>
    </row>
    <row r="992" spans="1:8">
      <c r="A992" s="44"/>
      <c r="B992" s="44"/>
      <c r="C992" s="44"/>
      <c r="D992" s="44"/>
      <c r="E992" s="44"/>
      <c r="F992" s="44"/>
      <c r="G992" s="44"/>
      <c r="H992" s="44"/>
    </row>
    <row r="993" spans="1:8">
      <c r="A993" s="44"/>
      <c r="B993" s="44"/>
      <c r="C993" s="44"/>
      <c r="D993" s="44"/>
      <c r="E993" s="44"/>
      <c r="F993" s="44"/>
      <c r="G993" s="44"/>
      <c r="H993" s="44"/>
    </row>
    <row r="994" spans="1:8">
      <c r="A994" s="44"/>
      <c r="B994" s="44"/>
      <c r="C994" s="44"/>
      <c r="D994" s="44"/>
      <c r="E994" s="44"/>
      <c r="F994" s="44"/>
      <c r="G994" s="44"/>
      <c r="H994" s="44"/>
    </row>
    <row r="995" spans="1:8">
      <c r="A995" s="44"/>
      <c r="B995" s="44"/>
      <c r="C995" s="44"/>
      <c r="D995" s="44"/>
      <c r="E995" s="44"/>
      <c r="F995" s="44"/>
      <c r="G995" s="44"/>
      <c r="H995" s="44"/>
    </row>
    <row r="996" spans="1:8">
      <c r="A996" s="44"/>
      <c r="B996" s="44"/>
      <c r="C996" s="44"/>
      <c r="D996" s="44"/>
      <c r="E996" s="44"/>
      <c r="F996" s="44"/>
      <c r="G996" s="44"/>
      <c r="H996" s="44"/>
    </row>
    <row r="997" spans="1:8">
      <c r="A997" s="44"/>
      <c r="B997" s="44"/>
      <c r="C997" s="44"/>
      <c r="D997" s="44"/>
      <c r="E997" s="44"/>
      <c r="F997" s="44"/>
      <c r="G997" s="44"/>
      <c r="H997" s="44"/>
    </row>
    <row r="998" spans="1:8">
      <c r="A998" s="44"/>
      <c r="B998" s="44"/>
      <c r="C998" s="44"/>
      <c r="D998" s="44"/>
      <c r="E998" s="44"/>
      <c r="F998" s="44"/>
      <c r="G998" s="44"/>
      <c r="H998" s="44"/>
    </row>
    <row r="999" spans="1:8">
      <c r="A999" s="44"/>
      <c r="B999" s="44"/>
      <c r="C999" s="44"/>
      <c r="D999" s="44"/>
      <c r="E999" s="44"/>
      <c r="F999" s="44"/>
      <c r="G999" s="44"/>
      <c r="H999" s="44"/>
    </row>
    <row r="1000" spans="1:8">
      <c r="A1000" s="44"/>
      <c r="B1000" s="44"/>
      <c r="C1000" s="44"/>
      <c r="D1000" s="44"/>
      <c r="E1000" s="44"/>
      <c r="F1000" s="44"/>
      <c r="G1000" s="44"/>
      <c r="H1000" s="44"/>
    </row>
    <row r="1001" spans="1:8">
      <c r="A1001" s="44"/>
      <c r="B1001" s="44"/>
      <c r="C1001" s="44"/>
      <c r="D1001" s="44"/>
      <c r="E1001" s="44"/>
      <c r="F1001" s="44"/>
      <c r="G1001" s="44"/>
      <c r="H1001" s="44"/>
    </row>
    <row r="1002" spans="1:8">
      <c r="A1002" s="44"/>
      <c r="B1002" s="44"/>
      <c r="C1002" s="44"/>
      <c r="D1002" s="44"/>
      <c r="E1002" s="44"/>
      <c r="F1002" s="44"/>
      <c r="G1002" s="44"/>
      <c r="H1002" s="44"/>
    </row>
    <row r="1003" spans="1:8">
      <c r="A1003" s="44"/>
      <c r="B1003" s="44"/>
      <c r="C1003" s="44"/>
      <c r="D1003" s="44"/>
      <c r="E1003" s="44"/>
      <c r="F1003" s="44"/>
      <c r="G1003" s="44"/>
      <c r="H1003" s="44"/>
    </row>
    <row r="1004" spans="1:8">
      <c r="A1004" s="44"/>
      <c r="B1004" s="44"/>
      <c r="C1004" s="44"/>
      <c r="D1004" s="44"/>
      <c r="E1004" s="44"/>
      <c r="F1004" s="44"/>
      <c r="G1004" s="44"/>
      <c r="H1004" s="44"/>
    </row>
    <row r="1005" spans="1:8">
      <c r="A1005" s="44"/>
      <c r="B1005" s="44"/>
      <c r="C1005" s="44"/>
      <c r="D1005" s="44"/>
      <c r="E1005" s="44"/>
      <c r="F1005" s="44"/>
      <c r="G1005" s="44"/>
      <c r="H1005" s="44"/>
    </row>
    <row r="1006" spans="1:8">
      <c r="A1006" s="44"/>
      <c r="B1006" s="44"/>
      <c r="C1006" s="44"/>
      <c r="D1006" s="44"/>
      <c r="E1006" s="44"/>
      <c r="F1006" s="44"/>
      <c r="G1006" s="44"/>
      <c r="H1006" s="44"/>
    </row>
    <row r="1007" spans="1:8">
      <c r="A1007" s="44"/>
      <c r="B1007" s="44"/>
      <c r="C1007" s="44"/>
      <c r="D1007" s="44"/>
      <c r="E1007" s="44"/>
      <c r="F1007" s="44"/>
      <c r="G1007" s="44"/>
      <c r="H1007" s="44"/>
    </row>
    <row r="1008" spans="1:8">
      <c r="A1008" s="44"/>
      <c r="B1008" s="44"/>
      <c r="C1008" s="44"/>
      <c r="D1008" s="44"/>
      <c r="E1008" s="44"/>
      <c r="F1008" s="44"/>
      <c r="G1008" s="44"/>
      <c r="H1008" s="44"/>
    </row>
    <row r="1009" spans="1:8">
      <c r="A1009" s="44"/>
      <c r="B1009" s="44"/>
      <c r="C1009" s="44"/>
      <c r="D1009" s="44"/>
      <c r="E1009" s="44"/>
      <c r="F1009" s="44"/>
      <c r="G1009" s="44"/>
      <c r="H1009" s="44"/>
    </row>
    <row r="1010" spans="1:8">
      <c r="A1010" s="44"/>
      <c r="B1010" s="44"/>
      <c r="C1010" s="44"/>
      <c r="D1010" s="44"/>
      <c r="E1010" s="44"/>
      <c r="F1010" s="44"/>
      <c r="G1010" s="44"/>
      <c r="H1010" s="44"/>
    </row>
    <row r="1011" spans="1:8">
      <c r="A1011" s="44"/>
      <c r="B1011" s="44"/>
      <c r="C1011" s="44"/>
      <c r="D1011" s="44"/>
      <c r="E1011" s="44"/>
      <c r="F1011" s="44"/>
      <c r="G1011" s="44"/>
      <c r="H1011" s="44"/>
    </row>
    <row r="1012" spans="1:8">
      <c r="A1012" s="44"/>
      <c r="B1012" s="44"/>
      <c r="C1012" s="44"/>
      <c r="D1012" s="44"/>
      <c r="E1012" s="44"/>
      <c r="F1012" s="44"/>
      <c r="G1012" s="44"/>
      <c r="H1012" s="44"/>
    </row>
    <row r="1013" spans="1:8">
      <c r="A1013" s="44"/>
      <c r="B1013" s="44"/>
      <c r="C1013" s="44"/>
      <c r="D1013" s="44"/>
      <c r="E1013" s="44"/>
      <c r="F1013" s="44"/>
      <c r="G1013" s="44"/>
      <c r="H1013" s="44"/>
    </row>
    <row r="1014" spans="1:8">
      <c r="A1014" s="44"/>
      <c r="B1014" s="44"/>
      <c r="C1014" s="44"/>
      <c r="D1014" s="44"/>
      <c r="E1014" s="44"/>
      <c r="F1014" s="44"/>
      <c r="G1014" s="44"/>
      <c r="H1014" s="44"/>
    </row>
    <row r="1015" spans="1:8">
      <c r="A1015" s="44"/>
      <c r="B1015" s="44"/>
      <c r="C1015" s="44"/>
      <c r="D1015" s="44"/>
      <c r="E1015" s="44"/>
      <c r="F1015" s="44"/>
      <c r="G1015" s="44"/>
      <c r="H1015" s="44"/>
    </row>
    <row r="1016" spans="1:8">
      <c r="A1016" s="44"/>
      <c r="B1016" s="44"/>
      <c r="C1016" s="44"/>
      <c r="D1016" s="44"/>
      <c r="E1016" s="44"/>
      <c r="F1016" s="44"/>
      <c r="G1016" s="44"/>
      <c r="H1016" s="44"/>
    </row>
  </sheetData>
  <sheetProtection sheet="1" objects="1" scenarios="1"/>
  <mergeCells count="17">
    <mergeCell ref="A200:H200"/>
    <mergeCell ref="A201:H201"/>
    <mergeCell ref="B480:F480"/>
    <mergeCell ref="A452:H452"/>
    <mergeCell ref="A453:H453"/>
    <mergeCell ref="A277:H277"/>
    <mergeCell ref="A278:H278"/>
    <mergeCell ref="A354:H354"/>
    <mergeCell ref="A355:H355"/>
    <mergeCell ref="A433:H433"/>
    <mergeCell ref="A434:H434"/>
    <mergeCell ref="A1:H1"/>
    <mergeCell ref="A2:H2"/>
    <mergeCell ref="A75:H75"/>
    <mergeCell ref="A76:H76"/>
    <mergeCell ref="A133:H133"/>
    <mergeCell ref="A132:H132"/>
  </mergeCells>
  <phoneticPr fontId="0" type="noConversion"/>
  <printOptions horizontalCentered="1"/>
  <pageMargins left="0.25" right="0.25" top="0.88" bottom="0.5" header="0.5" footer="0.5"/>
  <pageSetup scale="54" orientation="portrait" r:id="rId1"/>
  <headerFooter alignWithMargins="0">
    <oddHeader>&amp;C&amp;"Times New Roman,Bold"&amp;16ATTACHMENT D, Page &amp;P of &amp;N
EVERGY</oddHeader>
    <oddFooter>&amp;R&amp;1#&amp;"Calibri"&amp;10&amp;KA80000Internal Use Only</oddFooter>
  </headerFooter>
  <rowBreaks count="7" manualBreakCount="7">
    <brk id="74" max="16383" man="1"/>
    <brk id="131" max="16383" man="1"/>
    <brk id="199" max="7" man="1"/>
    <brk id="276" max="7" man="1"/>
    <brk id="353" max="7" man="1"/>
    <brk id="432" max="7" man="1"/>
    <brk id="451" max="7"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G204"/>
  <sheetViews>
    <sheetView view="pageBreakPreview" zoomScale="90" zoomScaleNormal="100" zoomScaleSheetLayoutView="90" workbookViewId="0">
      <selection sqref="A1:H1"/>
    </sheetView>
  </sheetViews>
  <sheetFormatPr defaultColWidth="9.109375" defaultRowHeight="13.2"/>
  <cols>
    <col min="1" max="1" width="7.6640625" style="44" customWidth="1"/>
    <col min="2" max="2" width="69.33203125" style="44" customWidth="1"/>
    <col min="3" max="3" width="11.88671875" style="44" customWidth="1"/>
    <col min="4" max="4" width="16" style="44" customWidth="1"/>
    <col min="5" max="5" width="15.6640625" style="44" customWidth="1"/>
    <col min="6" max="6" width="15.109375" style="44" bestFit="1" customWidth="1"/>
    <col min="7" max="7" width="15.109375" style="44" customWidth="1"/>
    <col min="8" max="8" width="18.5546875" style="44" customWidth="1"/>
    <col min="9" max="9" width="11.88671875" style="55" customWidth="1"/>
    <col min="10" max="10" width="5.109375" style="55" customWidth="1"/>
    <col min="11" max="11" width="7.6640625" style="55" bestFit="1" customWidth="1"/>
    <col min="12" max="12" width="11.88671875" style="55" bestFit="1" customWidth="1"/>
    <col min="13" max="13" width="12.88671875" style="55" bestFit="1" customWidth="1"/>
    <col min="14" max="14" width="13.33203125" style="55" bestFit="1" customWidth="1"/>
    <col min="15" max="15" width="13.109375" style="55" bestFit="1" customWidth="1"/>
    <col min="16" max="16" width="13.44140625" style="55" bestFit="1" customWidth="1"/>
    <col min="17" max="17" width="15.33203125" style="55" bestFit="1" customWidth="1"/>
    <col min="18" max="18" width="11.88671875" style="55" bestFit="1" customWidth="1"/>
    <col min="19" max="19" width="14.44140625" style="55" bestFit="1" customWidth="1"/>
    <col min="20" max="20" width="4.6640625" style="55" customWidth="1"/>
    <col min="21" max="21" width="12.88671875" style="55" bestFit="1" customWidth="1"/>
    <col min="22" max="22" width="12.44140625" style="55" bestFit="1" customWidth="1"/>
    <col min="23" max="23" width="13.33203125" style="55" bestFit="1" customWidth="1"/>
    <col min="24" max="24" width="13.109375" style="55" bestFit="1" customWidth="1"/>
    <col min="25" max="25" width="13.44140625" style="55" bestFit="1" customWidth="1"/>
    <col min="26" max="27" width="12.88671875" style="55" bestFit="1" customWidth="1"/>
    <col min="28" max="28" width="14.33203125" style="55" bestFit="1" customWidth="1"/>
    <col min="29" max="29" width="9.109375" style="55" customWidth="1"/>
    <col min="30" max="30" width="15.109375" style="55" bestFit="1" customWidth="1"/>
    <col min="31" max="31" width="12.88671875" style="55" bestFit="1" customWidth="1"/>
    <col min="32" max="16384" width="9.109375" style="55"/>
  </cols>
  <sheetData>
    <row r="1" spans="1:33" ht="20.399999999999999">
      <c r="A1" s="1730" t="s">
        <v>2988</v>
      </c>
      <c r="B1" s="1730"/>
      <c r="C1" s="1730"/>
      <c r="D1" s="1730"/>
      <c r="E1" s="1730"/>
      <c r="F1" s="1730"/>
      <c r="G1" s="1730"/>
      <c r="H1" s="1730"/>
    </row>
    <row r="2" spans="1:33" ht="19.2">
      <c r="A2" s="1731" t="str">
        <f>' Net Monthly Bill'!A2:B2</f>
        <v>For Contract Year Beginning June 1, 2024, Based on 2023 Data</v>
      </c>
      <c r="B2" s="1797"/>
      <c r="C2" s="1797"/>
      <c r="D2" s="1797"/>
      <c r="E2" s="1797"/>
      <c r="F2" s="1797"/>
      <c r="G2" s="1797"/>
      <c r="H2" s="1797"/>
      <c r="I2" s="44"/>
    </row>
    <row r="3" spans="1:33" ht="12" customHeight="1">
      <c r="A3" s="16"/>
      <c r="B3" s="16"/>
      <c r="C3" s="39"/>
      <c r="D3" s="39"/>
      <c r="E3" s="39"/>
      <c r="F3" s="39"/>
      <c r="G3" s="39"/>
      <c r="H3" s="39"/>
      <c r="I3" s="44"/>
    </row>
    <row r="4" spans="1:33" ht="13.5" customHeight="1">
      <c r="A4" s="8"/>
      <c r="B4" s="8"/>
      <c r="C4" s="414" t="s">
        <v>480</v>
      </c>
      <c r="D4" s="414" t="s">
        <v>481</v>
      </c>
      <c r="E4" s="414" t="s">
        <v>482</v>
      </c>
      <c r="F4" s="414" t="s">
        <v>483</v>
      </c>
      <c r="G4" s="414" t="s">
        <v>484</v>
      </c>
      <c r="H4" s="414" t="s">
        <v>884</v>
      </c>
      <c r="I4" s="218"/>
      <c r="J4" s="217"/>
    </row>
    <row r="5" spans="1:33" ht="13.5" customHeight="1">
      <c r="A5" s="318"/>
      <c r="B5" s="318"/>
      <c r="C5" s="318"/>
      <c r="D5" s="319" t="s">
        <v>469</v>
      </c>
      <c r="E5" s="319"/>
      <c r="F5" s="319"/>
      <c r="G5" s="319"/>
      <c r="H5" s="319" t="s">
        <v>2250</v>
      </c>
      <c r="I5" s="218"/>
      <c r="J5" s="217"/>
    </row>
    <row r="6" spans="1:33" ht="13.5" customHeight="1">
      <c r="A6" s="318"/>
      <c r="B6" s="318"/>
      <c r="C6" s="600" t="s">
        <v>2344</v>
      </c>
      <c r="D6" s="319" t="s">
        <v>655</v>
      </c>
      <c r="E6" s="319" t="s">
        <v>656</v>
      </c>
      <c r="F6" s="319" t="s">
        <v>656</v>
      </c>
      <c r="G6" s="319" t="s">
        <v>656</v>
      </c>
      <c r="H6" s="320" t="s">
        <v>2251</v>
      </c>
      <c r="I6" s="218"/>
      <c r="J6" s="217"/>
    </row>
    <row r="7" spans="1:33" ht="18.600000000000001">
      <c r="A7" s="113" t="s">
        <v>494</v>
      </c>
      <c r="B7" s="397" t="s">
        <v>880</v>
      </c>
      <c r="C7" s="627" t="s">
        <v>2483</v>
      </c>
      <c r="D7" s="398" t="s">
        <v>2251</v>
      </c>
      <c r="E7" s="627" t="s">
        <v>2484</v>
      </c>
      <c r="F7" s="397" t="s">
        <v>515</v>
      </c>
      <c r="G7" s="397" t="s">
        <v>516</v>
      </c>
      <c r="H7" s="629" t="s">
        <v>2349</v>
      </c>
      <c r="I7" s="218"/>
      <c r="J7" s="217"/>
    </row>
    <row r="8" spans="1:33" ht="15.6">
      <c r="A8" s="572">
        <v>1</v>
      </c>
      <c r="B8" s="271" t="s">
        <v>3182</v>
      </c>
      <c r="C8" s="444"/>
      <c r="D8" s="320"/>
      <c r="E8" s="601"/>
      <c r="F8" s="601"/>
      <c r="G8" s="601"/>
      <c r="H8" s="320"/>
      <c r="I8" s="218"/>
      <c r="J8" s="217"/>
    </row>
    <row r="9" spans="1:33" ht="15.6">
      <c r="A9" s="572">
        <f>A8+1</f>
        <v>2</v>
      </c>
      <c r="B9" s="1263" t="s">
        <v>72</v>
      </c>
      <c r="C9" s="1252">
        <v>6.6666666666666666E-2</v>
      </c>
      <c r="D9" s="1254">
        <v>0</v>
      </c>
      <c r="E9" s="1254">
        <v>0</v>
      </c>
      <c r="F9" s="1254">
        <v>0</v>
      </c>
      <c r="G9" s="1254">
        <v>0</v>
      </c>
      <c r="H9" s="272">
        <f>SUM(D9:G9)</f>
        <v>0</v>
      </c>
      <c r="I9" s="218"/>
      <c r="J9" s="217"/>
    </row>
    <row r="10" spans="1:33" ht="15.6">
      <c r="A10" s="572">
        <f t="shared" ref="A10:A67" si="0">A9+1</f>
        <v>3</v>
      </c>
      <c r="B10" s="628" t="s">
        <v>1717</v>
      </c>
      <c r="C10" s="1255">
        <v>0.2</v>
      </c>
      <c r="D10" s="1254">
        <v>0</v>
      </c>
      <c r="E10" s="1254">
        <v>0</v>
      </c>
      <c r="F10" s="1254">
        <v>0</v>
      </c>
      <c r="G10" s="1254">
        <v>0</v>
      </c>
      <c r="H10" s="272">
        <f t="shared" ref="H10:H80" si="1">SUM(D10:G10)</f>
        <v>0</v>
      </c>
      <c r="I10" s="217"/>
      <c r="J10" s="217"/>
      <c r="AF10" s="599"/>
      <c r="AG10" s="599"/>
    </row>
    <row r="11" spans="1:33" ht="15.6">
      <c r="A11" s="572">
        <f t="shared" si="0"/>
        <v>4</v>
      </c>
      <c r="B11" s="628" t="s">
        <v>1718</v>
      </c>
      <c r="C11" s="1255">
        <v>0.2</v>
      </c>
      <c r="D11" s="1254">
        <v>0</v>
      </c>
      <c r="E11" s="1254">
        <v>0</v>
      </c>
      <c r="F11" s="1254">
        <v>0</v>
      </c>
      <c r="G11" s="1254">
        <v>0</v>
      </c>
      <c r="H11" s="272">
        <f t="shared" si="1"/>
        <v>0</v>
      </c>
      <c r="I11" s="217"/>
      <c r="J11" s="217"/>
      <c r="AF11" s="599"/>
      <c r="AG11" s="599"/>
    </row>
    <row r="12" spans="1:33" ht="15.6">
      <c r="A12" s="572">
        <f t="shared" si="0"/>
        <v>5</v>
      </c>
      <c r="B12" s="628" t="s">
        <v>1719</v>
      </c>
      <c r="C12" s="1255">
        <v>0.2</v>
      </c>
      <c r="D12" s="1254">
        <v>0</v>
      </c>
      <c r="E12" s="1254">
        <v>0</v>
      </c>
      <c r="F12" s="628">
        <v>0</v>
      </c>
      <c r="G12" s="1254">
        <v>0</v>
      </c>
      <c r="H12" s="272">
        <f t="shared" si="1"/>
        <v>0</v>
      </c>
      <c r="I12" s="217"/>
      <c r="J12" s="217"/>
      <c r="AF12" s="599"/>
      <c r="AG12" s="599"/>
    </row>
    <row r="13" spans="1:33" ht="15.6">
      <c r="A13" s="572">
        <f t="shared" si="0"/>
        <v>6</v>
      </c>
      <c r="B13" s="628" t="s">
        <v>1720</v>
      </c>
      <c r="C13" s="1255">
        <v>0.2</v>
      </c>
      <c r="D13" s="1254">
        <v>0</v>
      </c>
      <c r="E13" s="1254">
        <v>0</v>
      </c>
      <c r="F13" s="1254">
        <v>0</v>
      </c>
      <c r="G13" s="1254">
        <v>0</v>
      </c>
      <c r="H13" s="272">
        <f t="shared" si="1"/>
        <v>0</v>
      </c>
      <c r="I13" s="217"/>
      <c r="J13" s="217"/>
      <c r="AF13" s="599"/>
      <c r="AG13" s="599"/>
    </row>
    <row r="14" spans="1:33" ht="15.6">
      <c r="A14" s="572">
        <f t="shared" si="0"/>
        <v>7</v>
      </c>
      <c r="B14" s="628" t="s">
        <v>1721</v>
      </c>
      <c r="C14" s="1255">
        <v>0.2</v>
      </c>
      <c r="D14" s="1254">
        <v>0</v>
      </c>
      <c r="E14" s="1254">
        <v>0</v>
      </c>
      <c r="F14" s="628">
        <v>0</v>
      </c>
      <c r="G14" s="1254">
        <v>0</v>
      </c>
      <c r="H14" s="272">
        <f t="shared" si="1"/>
        <v>0</v>
      </c>
      <c r="I14" s="217"/>
      <c r="J14" s="217"/>
      <c r="AF14" s="599"/>
      <c r="AG14" s="599"/>
    </row>
    <row r="15" spans="1:33" ht="15.6">
      <c r="A15" s="572">
        <f t="shared" si="0"/>
        <v>8</v>
      </c>
      <c r="B15" s="628" t="s">
        <v>1722</v>
      </c>
      <c r="C15" s="1255">
        <v>0.2</v>
      </c>
      <c r="D15" s="1254">
        <v>0</v>
      </c>
      <c r="E15" s="1254">
        <v>0</v>
      </c>
      <c r="F15" s="1254">
        <v>0</v>
      </c>
      <c r="G15" s="1254">
        <v>0</v>
      </c>
      <c r="H15" s="272">
        <f t="shared" si="1"/>
        <v>0</v>
      </c>
      <c r="I15" s="217"/>
      <c r="J15" s="217"/>
      <c r="AF15" s="599"/>
      <c r="AG15" s="599"/>
    </row>
    <row r="16" spans="1:33" ht="15.6">
      <c r="A16" s="572">
        <f t="shared" si="0"/>
        <v>9</v>
      </c>
      <c r="B16" s="628" t="s">
        <v>1136</v>
      </c>
      <c r="C16" s="1255">
        <v>0.2</v>
      </c>
      <c r="D16" s="1254">
        <v>-3120346.2199999997</v>
      </c>
      <c r="E16" s="1254">
        <v>0</v>
      </c>
      <c r="F16" s="1254">
        <v>0</v>
      </c>
      <c r="G16" s="1254">
        <v>0</v>
      </c>
      <c r="H16" s="272">
        <f t="shared" si="1"/>
        <v>-3120346.2199999997</v>
      </c>
      <c r="I16" s="217"/>
      <c r="J16" s="217"/>
      <c r="AF16" s="599"/>
      <c r="AG16" s="599"/>
    </row>
    <row r="17" spans="1:33" ht="15.6">
      <c r="A17" s="572">
        <f t="shared" si="0"/>
        <v>10</v>
      </c>
      <c r="B17" s="628" t="s">
        <v>1137</v>
      </c>
      <c r="C17" s="1255">
        <v>0.2</v>
      </c>
      <c r="D17" s="1254">
        <v>-3223786.01</v>
      </c>
      <c r="E17" s="1254">
        <v>0</v>
      </c>
      <c r="F17" s="1254">
        <v>0</v>
      </c>
      <c r="G17" s="1254">
        <v>0</v>
      </c>
      <c r="H17" s="272">
        <f t="shared" si="1"/>
        <v>-3223786.01</v>
      </c>
      <c r="I17" s="217"/>
      <c r="J17" s="217"/>
      <c r="AF17" s="599"/>
      <c r="AG17" s="599"/>
    </row>
    <row r="18" spans="1:33" ht="15.6">
      <c r="A18" s="572">
        <f t="shared" si="0"/>
        <v>11</v>
      </c>
      <c r="B18" s="628" t="s">
        <v>1138</v>
      </c>
      <c r="C18" s="1255">
        <v>0.2</v>
      </c>
      <c r="D18" s="1254">
        <v>0</v>
      </c>
      <c r="E18" s="1254">
        <v>0</v>
      </c>
      <c r="F18" s="1254">
        <v>0</v>
      </c>
      <c r="G18" s="1254">
        <v>0</v>
      </c>
      <c r="H18" s="272">
        <f t="shared" si="1"/>
        <v>0</v>
      </c>
      <c r="I18" s="217"/>
      <c r="J18" s="217"/>
      <c r="AF18" s="599"/>
      <c r="AG18" s="599"/>
    </row>
    <row r="19" spans="1:33" ht="15.6">
      <c r="A19" s="572">
        <f t="shared" si="0"/>
        <v>12</v>
      </c>
      <c r="B19" s="1264" t="s">
        <v>1139</v>
      </c>
      <c r="C19" s="1255">
        <v>2.7586206896551724E-2</v>
      </c>
      <c r="D19" s="1254">
        <v>-3730900.75</v>
      </c>
      <c r="E19" s="1254">
        <v>-264916.02</v>
      </c>
      <c r="F19" s="1254">
        <v>0</v>
      </c>
      <c r="G19" s="1254">
        <v>0</v>
      </c>
      <c r="H19" s="272">
        <f t="shared" si="1"/>
        <v>-3995816.77</v>
      </c>
      <c r="I19" s="217"/>
      <c r="J19" s="217"/>
      <c r="AF19" s="599"/>
      <c r="AG19" s="599"/>
    </row>
    <row r="20" spans="1:33" ht="15.6">
      <c r="A20" s="572">
        <f t="shared" si="0"/>
        <v>13</v>
      </c>
      <c r="B20" s="628" t="s">
        <v>1140</v>
      </c>
      <c r="C20" s="1255">
        <v>0.2</v>
      </c>
      <c r="D20" s="1254">
        <v>-104705.22</v>
      </c>
      <c r="E20" s="1254">
        <v>0</v>
      </c>
      <c r="F20" s="1254">
        <v>0</v>
      </c>
      <c r="G20" s="1254">
        <v>0</v>
      </c>
      <c r="H20" s="272">
        <f t="shared" si="1"/>
        <v>-104705.22</v>
      </c>
      <c r="I20" s="217"/>
      <c r="J20" s="217"/>
      <c r="K20" s="44"/>
      <c r="L20" s="47"/>
      <c r="M20" s="48"/>
      <c r="N20" s="48"/>
      <c r="O20" s="48"/>
      <c r="P20" s="48"/>
      <c r="Q20" s="48"/>
      <c r="R20" s="48"/>
      <c r="S20" s="48"/>
      <c r="T20" s="48"/>
      <c r="U20" s="48"/>
      <c r="V20" s="48"/>
      <c r="W20" s="48"/>
      <c r="X20" s="48"/>
      <c r="Y20" s="48"/>
      <c r="Z20" s="48"/>
      <c r="AA20" s="48"/>
      <c r="AB20" s="48"/>
      <c r="AC20" s="599"/>
      <c r="AD20" s="599"/>
      <c r="AE20" s="599"/>
      <c r="AF20" s="599"/>
      <c r="AG20" s="599"/>
    </row>
    <row r="21" spans="1:33" ht="15.6">
      <c r="A21" s="572">
        <f t="shared" si="0"/>
        <v>14</v>
      </c>
      <c r="B21" s="628" t="s">
        <v>1141</v>
      </c>
      <c r="C21" s="1255">
        <v>0.2</v>
      </c>
      <c r="D21" s="1254">
        <v>-82358.66</v>
      </c>
      <c r="E21" s="1254">
        <v>0</v>
      </c>
      <c r="F21" s="1254">
        <v>0</v>
      </c>
      <c r="G21" s="1254">
        <v>0</v>
      </c>
      <c r="H21" s="272">
        <f t="shared" si="1"/>
        <v>-82358.66</v>
      </c>
      <c r="I21" s="217"/>
      <c r="J21" s="217"/>
      <c r="K21" s="44"/>
      <c r="L21" s="47"/>
      <c r="M21" s="48"/>
      <c r="N21" s="48"/>
      <c r="O21" s="48"/>
      <c r="P21" s="48"/>
      <c r="Q21" s="48"/>
      <c r="R21" s="48"/>
      <c r="S21" s="48"/>
      <c r="T21" s="48"/>
      <c r="U21" s="48"/>
      <c r="V21" s="48"/>
      <c r="W21" s="48"/>
      <c r="X21" s="48"/>
      <c r="Y21" s="48"/>
      <c r="Z21" s="48"/>
      <c r="AA21" s="48"/>
      <c r="AB21" s="48"/>
      <c r="AC21" s="599"/>
      <c r="AD21" s="599"/>
      <c r="AE21" s="599"/>
      <c r="AF21" s="599"/>
      <c r="AG21" s="599"/>
    </row>
    <row r="22" spans="1:33" ht="15.6">
      <c r="A22" s="572">
        <f t="shared" si="0"/>
        <v>15</v>
      </c>
      <c r="B22" s="628" t="s">
        <v>1142</v>
      </c>
      <c r="C22" s="1255">
        <v>0.2</v>
      </c>
      <c r="D22" s="1254">
        <v>-122685.64</v>
      </c>
      <c r="E22" s="1254">
        <v>0</v>
      </c>
      <c r="F22" s="1254">
        <v>0</v>
      </c>
      <c r="G22" s="1254">
        <v>0</v>
      </c>
      <c r="H22" s="272">
        <f t="shared" si="1"/>
        <v>-122685.64</v>
      </c>
      <c r="I22" s="217"/>
      <c r="J22" s="217"/>
      <c r="K22" s="44"/>
      <c r="L22" s="47"/>
      <c r="M22" s="48"/>
      <c r="N22" s="48"/>
      <c r="O22" s="48"/>
      <c r="P22" s="48"/>
      <c r="Q22" s="48"/>
      <c r="R22" s="48"/>
      <c r="S22" s="48"/>
      <c r="T22" s="48"/>
      <c r="U22" s="48"/>
      <c r="V22" s="48"/>
      <c r="W22" s="48"/>
      <c r="X22" s="48"/>
      <c r="Y22" s="48"/>
      <c r="Z22" s="48"/>
      <c r="AA22" s="48"/>
      <c r="AB22" s="48"/>
      <c r="AC22" s="599"/>
      <c r="AD22" s="599"/>
      <c r="AE22" s="599"/>
      <c r="AF22" s="599"/>
      <c r="AG22" s="599"/>
    </row>
    <row r="23" spans="1:33" ht="15.6">
      <c r="A23" s="572">
        <f t="shared" si="0"/>
        <v>16</v>
      </c>
      <c r="B23" s="628" t="s">
        <v>1143</v>
      </c>
      <c r="C23" s="1255">
        <v>0.2</v>
      </c>
      <c r="D23" s="1254">
        <v>0</v>
      </c>
      <c r="E23" s="1254">
        <v>0</v>
      </c>
      <c r="F23" s="1254">
        <v>0</v>
      </c>
      <c r="G23" s="1254">
        <v>0</v>
      </c>
      <c r="H23" s="272">
        <f t="shared" si="1"/>
        <v>0</v>
      </c>
      <c r="I23" s="217"/>
      <c r="J23" s="217"/>
      <c r="K23" s="44"/>
      <c r="L23" s="47"/>
      <c r="M23" s="48"/>
      <c r="N23" s="48"/>
      <c r="O23" s="48"/>
      <c r="P23" s="48"/>
      <c r="Q23" s="48"/>
      <c r="R23" s="48"/>
      <c r="S23" s="48"/>
      <c r="T23" s="48"/>
      <c r="U23" s="48"/>
      <c r="V23" s="48"/>
      <c r="W23" s="48"/>
      <c r="X23" s="48"/>
      <c r="Y23" s="48"/>
      <c r="Z23" s="44"/>
      <c r="AA23" s="44"/>
      <c r="AB23" s="44"/>
    </row>
    <row r="24" spans="1:33" ht="15.6">
      <c r="A24" s="572">
        <f t="shared" si="0"/>
        <v>17</v>
      </c>
      <c r="B24" s="628" t="s">
        <v>378</v>
      </c>
      <c r="C24" s="1255">
        <v>0.2</v>
      </c>
      <c r="D24" s="1254">
        <v>0</v>
      </c>
      <c r="E24" s="1254">
        <v>0</v>
      </c>
      <c r="F24" s="1254">
        <v>0</v>
      </c>
      <c r="G24" s="1254">
        <v>0</v>
      </c>
      <c r="H24" s="272">
        <f t="shared" si="1"/>
        <v>0</v>
      </c>
      <c r="I24" s="217"/>
      <c r="J24" s="217"/>
      <c r="K24" s="44"/>
      <c r="L24" s="47"/>
      <c r="M24" s="48"/>
      <c r="N24" s="48"/>
      <c r="O24" s="48"/>
      <c r="P24" s="48"/>
      <c r="Q24" s="48"/>
      <c r="R24" s="48"/>
      <c r="S24" s="48"/>
      <c r="T24" s="48"/>
      <c r="U24" s="48"/>
      <c r="V24" s="48"/>
      <c r="W24" s="48"/>
      <c r="X24" s="48"/>
      <c r="Y24" s="48"/>
      <c r="Z24" s="44"/>
      <c r="AA24" s="44"/>
      <c r="AB24" s="44"/>
    </row>
    <row r="25" spans="1:33" ht="15.6">
      <c r="A25" s="572">
        <f t="shared" si="0"/>
        <v>18</v>
      </c>
      <c r="B25" s="628" t="s">
        <v>1144</v>
      </c>
      <c r="C25" s="1255">
        <v>0.2</v>
      </c>
      <c r="D25" s="1254">
        <v>0</v>
      </c>
      <c r="E25" s="1254">
        <v>0</v>
      </c>
      <c r="F25" s="1254">
        <v>0</v>
      </c>
      <c r="G25" s="1254">
        <v>0</v>
      </c>
      <c r="H25" s="272">
        <f t="shared" si="1"/>
        <v>0</v>
      </c>
      <c r="I25" s="217"/>
      <c r="J25" s="217"/>
      <c r="K25" s="44"/>
      <c r="L25" s="47"/>
      <c r="M25" s="48"/>
      <c r="N25" s="48"/>
      <c r="O25" s="48"/>
      <c r="P25" s="48"/>
      <c r="Q25" s="48"/>
      <c r="R25" s="48"/>
      <c r="S25" s="48"/>
      <c r="T25" s="48"/>
      <c r="U25" s="48"/>
      <c r="V25" s="48"/>
      <c r="W25" s="48"/>
      <c r="X25" s="48"/>
      <c r="Y25" s="48"/>
      <c r="Z25" s="44"/>
      <c r="AA25" s="44"/>
      <c r="AB25" s="44"/>
    </row>
    <row r="26" spans="1:33" ht="15.6">
      <c r="A26" s="572">
        <f t="shared" si="0"/>
        <v>19</v>
      </c>
      <c r="B26" s="628" t="s">
        <v>1145</v>
      </c>
      <c r="C26" s="1255">
        <v>0.2</v>
      </c>
      <c r="D26" s="1254">
        <v>-302839.59000000003</v>
      </c>
      <c r="E26" s="1254">
        <v>0</v>
      </c>
      <c r="F26" s="1254">
        <v>0</v>
      </c>
      <c r="G26" s="1254">
        <v>0</v>
      </c>
      <c r="H26" s="272">
        <f t="shared" si="1"/>
        <v>-302839.59000000003</v>
      </c>
      <c r="I26" s="217"/>
      <c r="J26" s="217"/>
      <c r="K26" s="44"/>
      <c r="L26" s="47"/>
      <c r="M26" s="48"/>
      <c r="N26" s="48"/>
      <c r="O26" s="48"/>
      <c r="P26" s="48"/>
      <c r="Q26" s="48"/>
      <c r="R26" s="48"/>
      <c r="S26" s="48"/>
      <c r="T26" s="48"/>
      <c r="U26" s="48"/>
      <c r="V26" s="48"/>
      <c r="W26" s="48"/>
      <c r="X26" s="48"/>
      <c r="Y26" s="48"/>
      <c r="Z26" s="44"/>
      <c r="AA26" s="44"/>
      <c r="AB26" s="44"/>
    </row>
    <row r="27" spans="1:33" ht="15.6">
      <c r="A27" s="572">
        <f t="shared" si="0"/>
        <v>20</v>
      </c>
      <c r="B27" s="628" t="s">
        <v>1146</v>
      </c>
      <c r="C27" s="1255">
        <v>0.2</v>
      </c>
      <c r="D27" s="1254">
        <v>0</v>
      </c>
      <c r="E27" s="1254">
        <v>0</v>
      </c>
      <c r="F27" s="1254">
        <v>0</v>
      </c>
      <c r="G27" s="1254">
        <v>0</v>
      </c>
      <c r="H27" s="272">
        <f t="shared" si="1"/>
        <v>0</v>
      </c>
      <c r="I27" s="217"/>
      <c r="J27" s="217"/>
      <c r="K27" s="44"/>
      <c r="L27" s="47"/>
      <c r="M27" s="48"/>
      <c r="N27" s="48"/>
      <c r="O27" s="48"/>
      <c r="P27" s="48"/>
      <c r="Q27" s="48"/>
      <c r="R27" s="48"/>
      <c r="S27" s="48"/>
      <c r="T27" s="48"/>
      <c r="U27" s="48"/>
      <c r="V27" s="48"/>
      <c r="W27" s="48"/>
      <c r="X27" s="48"/>
      <c r="Y27" s="48"/>
      <c r="Z27" s="44"/>
      <c r="AA27" s="44"/>
      <c r="AB27" s="44"/>
    </row>
    <row r="28" spans="1:33" ht="15.6">
      <c r="A28" s="572">
        <f t="shared" si="0"/>
        <v>21</v>
      </c>
      <c r="B28" s="628" t="s">
        <v>1147</v>
      </c>
      <c r="C28" s="1255">
        <v>0.2</v>
      </c>
      <c r="D28" s="1254">
        <v>0</v>
      </c>
      <c r="E28" s="1254">
        <v>0</v>
      </c>
      <c r="F28" s="1254">
        <v>0</v>
      </c>
      <c r="G28" s="1254">
        <v>0</v>
      </c>
      <c r="H28" s="272">
        <f t="shared" si="1"/>
        <v>0</v>
      </c>
      <c r="I28" s="217"/>
      <c r="J28" s="217"/>
      <c r="K28" s="44"/>
      <c r="L28" s="47"/>
      <c r="M28" s="48"/>
      <c r="N28" s="48"/>
      <c r="O28" s="48"/>
      <c r="P28" s="48"/>
      <c r="Q28" s="48"/>
      <c r="R28" s="48"/>
      <c r="S28" s="48"/>
      <c r="T28" s="48"/>
      <c r="U28" s="48"/>
      <c r="V28" s="48"/>
      <c r="W28" s="48"/>
      <c r="X28" s="48"/>
      <c r="Y28" s="48"/>
      <c r="Z28" s="44"/>
      <c r="AA28" s="44"/>
      <c r="AB28" s="44"/>
    </row>
    <row r="29" spans="1:33" ht="15.6">
      <c r="A29" s="572">
        <f t="shared" si="0"/>
        <v>22</v>
      </c>
      <c r="B29" s="628" t="s">
        <v>379</v>
      </c>
      <c r="C29" s="1255">
        <v>0.2</v>
      </c>
      <c r="D29" s="1254">
        <v>-271136.76</v>
      </c>
      <c r="E29" s="1254">
        <v>0</v>
      </c>
      <c r="F29" s="1254">
        <v>0</v>
      </c>
      <c r="G29" s="1254">
        <v>0</v>
      </c>
      <c r="H29" s="272">
        <f t="shared" si="1"/>
        <v>-271136.76</v>
      </c>
      <c r="I29" s="217"/>
      <c r="J29" s="217"/>
      <c r="K29" s="44"/>
      <c r="L29" s="47"/>
      <c r="M29" s="48"/>
      <c r="N29" s="48"/>
      <c r="O29" s="48"/>
      <c r="P29" s="48"/>
      <c r="Q29" s="48"/>
      <c r="R29" s="48"/>
      <c r="S29" s="48"/>
      <c r="T29" s="48"/>
      <c r="U29" s="48"/>
      <c r="V29" s="48"/>
      <c r="W29" s="48"/>
      <c r="X29" s="48"/>
      <c r="Y29" s="48"/>
      <c r="Z29" s="44"/>
      <c r="AA29" s="44"/>
      <c r="AB29" s="44"/>
    </row>
    <row r="30" spans="1:33" ht="15.6">
      <c r="A30" s="572">
        <f t="shared" si="0"/>
        <v>23</v>
      </c>
      <c r="B30" s="628" t="s">
        <v>380</v>
      </c>
      <c r="C30" s="1255">
        <v>0.2</v>
      </c>
      <c r="D30" s="1254">
        <v>-220271.79</v>
      </c>
      <c r="E30" s="1254">
        <v>0</v>
      </c>
      <c r="F30" s="1254">
        <v>0</v>
      </c>
      <c r="G30" s="1254">
        <v>0</v>
      </c>
      <c r="H30" s="272">
        <f t="shared" si="1"/>
        <v>-220271.79</v>
      </c>
      <c r="I30" s="217"/>
      <c r="J30" s="217"/>
      <c r="K30" s="44"/>
      <c r="L30" s="44"/>
      <c r="M30" s="48"/>
      <c r="N30" s="48"/>
      <c r="O30" s="48"/>
      <c r="P30" s="48"/>
      <c r="Q30" s="48"/>
      <c r="R30" s="48"/>
      <c r="S30" s="48"/>
      <c r="T30" s="48"/>
      <c r="U30" s="48"/>
      <c r="V30" s="48"/>
      <c r="W30" s="48"/>
      <c r="X30" s="48"/>
      <c r="Y30" s="48"/>
      <c r="Z30" s="44"/>
      <c r="AA30" s="44"/>
      <c r="AB30" s="44"/>
    </row>
    <row r="31" spans="1:33" ht="15.6">
      <c r="A31" s="572">
        <f t="shared" si="0"/>
        <v>24</v>
      </c>
      <c r="B31" s="628" t="s">
        <v>1008</v>
      </c>
      <c r="C31" s="1255">
        <v>0.2</v>
      </c>
      <c r="D31" s="1254">
        <v>-92203.96</v>
      </c>
      <c r="E31" s="1254">
        <v>0</v>
      </c>
      <c r="F31" s="1254">
        <v>0</v>
      </c>
      <c r="G31" s="1254">
        <v>0</v>
      </c>
      <c r="H31" s="272">
        <f t="shared" si="1"/>
        <v>-92203.96</v>
      </c>
      <c r="I31" s="217"/>
      <c r="J31" s="217"/>
      <c r="K31" s="44"/>
      <c r="L31" s="44"/>
      <c r="M31" s="48"/>
      <c r="N31" s="48"/>
      <c r="O31" s="48"/>
      <c r="P31" s="48"/>
      <c r="Q31" s="48"/>
      <c r="R31" s="48"/>
      <c r="S31" s="48"/>
      <c r="T31" s="48"/>
      <c r="U31" s="48"/>
      <c r="V31" s="48"/>
      <c r="W31" s="48"/>
      <c r="X31" s="48"/>
      <c r="Y31" s="48"/>
      <c r="Z31" s="44"/>
      <c r="AA31" s="44"/>
      <c r="AB31" s="44"/>
    </row>
    <row r="32" spans="1:33" ht="15.6">
      <c r="A32" s="572">
        <f t="shared" si="0"/>
        <v>25</v>
      </c>
      <c r="B32" s="628" t="s">
        <v>1009</v>
      </c>
      <c r="C32" s="1255">
        <v>0.2</v>
      </c>
      <c r="D32" s="1254">
        <v>-443749.98</v>
      </c>
      <c r="E32" s="1254">
        <v>0</v>
      </c>
      <c r="F32" s="1254">
        <v>0</v>
      </c>
      <c r="G32" s="1254">
        <v>0</v>
      </c>
      <c r="H32" s="272">
        <f t="shared" si="1"/>
        <v>-443749.98</v>
      </c>
      <c r="I32" s="217"/>
      <c r="J32" s="217"/>
      <c r="K32" s="44"/>
      <c r="L32" s="44"/>
      <c r="M32" s="48"/>
      <c r="N32" s="48"/>
      <c r="O32" s="48"/>
      <c r="P32" s="48"/>
      <c r="Q32" s="48"/>
      <c r="R32" s="48"/>
      <c r="S32" s="48"/>
      <c r="T32" s="48"/>
      <c r="U32" s="48"/>
      <c r="V32" s="48"/>
      <c r="W32" s="48"/>
      <c r="X32" s="48"/>
      <c r="Y32" s="48"/>
      <c r="Z32" s="44"/>
      <c r="AA32" s="44"/>
      <c r="AB32" s="44"/>
    </row>
    <row r="33" spans="1:28" ht="15.6">
      <c r="A33" s="572">
        <f t="shared" si="0"/>
        <v>26</v>
      </c>
      <c r="B33" s="628" t="s">
        <v>1148</v>
      </c>
      <c r="C33" s="1255">
        <v>0.2</v>
      </c>
      <c r="D33" s="1254">
        <v>0</v>
      </c>
      <c r="E33" s="1254">
        <v>0</v>
      </c>
      <c r="F33" s="1254">
        <v>0</v>
      </c>
      <c r="G33" s="1254">
        <v>0</v>
      </c>
      <c r="H33" s="272">
        <f t="shared" si="1"/>
        <v>0</v>
      </c>
      <c r="I33" s="217"/>
      <c r="J33" s="217"/>
      <c r="K33" s="44"/>
      <c r="L33" s="44"/>
      <c r="M33" s="48"/>
      <c r="N33" s="48"/>
      <c r="O33" s="48"/>
      <c r="P33" s="48"/>
      <c r="Q33" s="48"/>
      <c r="R33" s="48"/>
      <c r="S33" s="48"/>
      <c r="T33" s="48"/>
      <c r="U33" s="48"/>
      <c r="V33" s="48"/>
      <c r="W33" s="48"/>
      <c r="X33" s="48"/>
      <c r="Y33" s="48"/>
      <c r="Z33" s="44"/>
      <c r="AA33" s="44"/>
      <c r="AB33" s="44"/>
    </row>
    <row r="34" spans="1:28" ht="15.6">
      <c r="A34" s="572">
        <f t="shared" si="0"/>
        <v>27</v>
      </c>
      <c r="B34" s="628" t="s">
        <v>1010</v>
      </c>
      <c r="C34" s="1255">
        <v>0.2</v>
      </c>
      <c r="D34" s="1254">
        <v>-329064.80000000005</v>
      </c>
      <c r="E34" s="1254">
        <v>0</v>
      </c>
      <c r="F34" s="1254">
        <v>0</v>
      </c>
      <c r="G34" s="1254">
        <v>0</v>
      </c>
      <c r="H34" s="272">
        <f t="shared" si="1"/>
        <v>-329064.80000000005</v>
      </c>
      <c r="I34" s="217"/>
      <c r="J34" s="217"/>
      <c r="K34" s="44"/>
      <c r="L34" s="44"/>
      <c r="M34" s="48"/>
      <c r="N34" s="48"/>
      <c r="O34" s="48"/>
      <c r="P34" s="48"/>
      <c r="Q34" s="48"/>
      <c r="R34" s="48"/>
      <c r="S34" s="48"/>
      <c r="T34" s="48"/>
      <c r="U34" s="48"/>
      <c r="V34" s="48"/>
      <c r="W34" s="48"/>
      <c r="X34" s="48"/>
      <c r="Y34" s="48"/>
      <c r="Z34" s="44"/>
      <c r="AA34" s="44"/>
      <c r="AB34" s="44"/>
    </row>
    <row r="35" spans="1:28" ht="15.6" customHeight="1">
      <c r="A35" s="572">
        <f t="shared" si="0"/>
        <v>28</v>
      </c>
      <c r="B35" s="628" t="s">
        <v>3422</v>
      </c>
      <c r="C35" s="1255">
        <v>0.2</v>
      </c>
      <c r="D35" s="1254">
        <v>0</v>
      </c>
      <c r="E35" s="1254">
        <v>0</v>
      </c>
      <c r="F35" s="1254">
        <v>0</v>
      </c>
      <c r="G35" s="1254">
        <v>0</v>
      </c>
      <c r="H35" s="272">
        <f t="shared" si="1"/>
        <v>0</v>
      </c>
      <c r="I35" s="217"/>
      <c r="J35" s="217"/>
      <c r="K35" s="44"/>
      <c r="L35" s="44"/>
      <c r="M35" s="48"/>
      <c r="N35" s="48"/>
      <c r="O35" s="48"/>
      <c r="P35" s="48"/>
      <c r="Q35" s="48"/>
      <c r="R35" s="48"/>
      <c r="S35" s="48"/>
      <c r="T35" s="48"/>
      <c r="U35" s="48"/>
      <c r="V35" s="48"/>
      <c r="W35" s="48"/>
      <c r="X35" s="48"/>
      <c r="Y35" s="48"/>
      <c r="Z35" s="44"/>
      <c r="AA35" s="44"/>
      <c r="AB35" s="44"/>
    </row>
    <row r="36" spans="1:28" ht="15.6" customHeight="1">
      <c r="A36" s="572">
        <f t="shared" si="0"/>
        <v>29</v>
      </c>
      <c r="B36" s="1264" t="s">
        <v>3423</v>
      </c>
      <c r="C36" s="1255">
        <v>0.2</v>
      </c>
      <c r="D36" s="1254">
        <v>0</v>
      </c>
      <c r="E36" s="1254">
        <v>0</v>
      </c>
      <c r="F36" s="628">
        <v>0</v>
      </c>
      <c r="G36" s="1254">
        <v>0</v>
      </c>
      <c r="H36" s="272">
        <f t="shared" si="1"/>
        <v>0</v>
      </c>
      <c r="I36" s="217"/>
      <c r="J36" s="217"/>
      <c r="K36" s="44"/>
      <c r="L36" s="44"/>
      <c r="M36" s="48"/>
      <c r="N36" s="48"/>
      <c r="O36" s="48"/>
      <c r="P36" s="48"/>
      <c r="Q36" s="48"/>
      <c r="R36" s="48"/>
      <c r="S36" s="48"/>
      <c r="T36" s="48"/>
      <c r="U36" s="48"/>
      <c r="V36" s="48"/>
      <c r="W36" s="48"/>
      <c r="X36" s="48"/>
      <c r="Y36" s="48"/>
      <c r="Z36" s="44"/>
      <c r="AA36" s="44"/>
      <c r="AB36" s="44"/>
    </row>
    <row r="37" spans="1:28" ht="15.6">
      <c r="A37" s="572">
        <f t="shared" si="0"/>
        <v>30</v>
      </c>
      <c r="B37" s="628" t="s">
        <v>1723</v>
      </c>
      <c r="C37" s="1255">
        <v>0.2</v>
      </c>
      <c r="D37" s="1254">
        <v>0</v>
      </c>
      <c r="E37" s="1254">
        <v>0</v>
      </c>
      <c r="F37" s="628">
        <v>0</v>
      </c>
      <c r="G37" s="1254">
        <v>0</v>
      </c>
      <c r="H37" s="272">
        <f t="shared" si="1"/>
        <v>0</v>
      </c>
      <c r="I37" s="217"/>
      <c r="J37" s="217"/>
      <c r="K37" s="44"/>
      <c r="L37" s="44"/>
      <c r="M37" s="48"/>
      <c r="N37" s="48"/>
      <c r="O37" s="48"/>
      <c r="P37" s="48"/>
      <c r="Q37" s="48"/>
      <c r="R37" s="48"/>
      <c r="S37" s="48"/>
      <c r="T37" s="48"/>
      <c r="U37" s="48"/>
      <c r="V37" s="48"/>
      <c r="W37" s="48"/>
      <c r="X37" s="48"/>
      <c r="Y37" s="48"/>
      <c r="Z37" s="44"/>
      <c r="AA37" s="44"/>
      <c r="AB37" s="44"/>
    </row>
    <row r="38" spans="1:28" ht="15.6">
      <c r="A38" s="572">
        <f t="shared" si="0"/>
        <v>31</v>
      </c>
      <c r="B38" s="628" t="s">
        <v>1724</v>
      </c>
      <c r="C38" s="1255">
        <v>0.2</v>
      </c>
      <c r="D38" s="1254">
        <v>0</v>
      </c>
      <c r="E38" s="1254">
        <v>0</v>
      </c>
      <c r="F38" s="628">
        <v>0</v>
      </c>
      <c r="G38" s="1254">
        <v>0</v>
      </c>
      <c r="H38" s="272">
        <f t="shared" si="1"/>
        <v>0</v>
      </c>
      <c r="I38" s="217"/>
      <c r="J38" s="217"/>
      <c r="K38" s="44"/>
      <c r="L38" s="44"/>
      <c r="M38" s="48"/>
      <c r="N38" s="48"/>
      <c r="O38" s="48"/>
      <c r="P38" s="48"/>
      <c r="Q38" s="48"/>
      <c r="R38" s="48"/>
      <c r="S38" s="48"/>
      <c r="T38" s="48"/>
      <c r="U38" s="48"/>
      <c r="V38" s="48"/>
      <c r="W38" s="48"/>
      <c r="X38" s="48"/>
      <c r="Y38" s="48"/>
      <c r="Z38" s="44"/>
      <c r="AA38" s="44"/>
      <c r="AB38" s="44"/>
    </row>
    <row r="39" spans="1:28" ht="15.6" customHeight="1">
      <c r="A39" s="572">
        <f t="shared" si="0"/>
        <v>32</v>
      </c>
      <c r="B39" s="1264" t="s">
        <v>1725</v>
      </c>
      <c r="C39" s="1255">
        <v>0.2</v>
      </c>
      <c r="D39" s="1254">
        <v>0</v>
      </c>
      <c r="E39" s="1254">
        <v>0</v>
      </c>
      <c r="F39" s="1254">
        <v>0</v>
      </c>
      <c r="G39" s="1254">
        <v>0</v>
      </c>
      <c r="H39" s="272">
        <f t="shared" si="1"/>
        <v>0</v>
      </c>
      <c r="I39" s="217"/>
      <c r="J39" s="217"/>
      <c r="K39" s="44"/>
      <c r="L39" s="44"/>
      <c r="M39" s="48"/>
      <c r="N39" s="48"/>
      <c r="O39" s="48"/>
      <c r="P39" s="48"/>
      <c r="Q39" s="48"/>
      <c r="R39" s="48"/>
      <c r="S39" s="48"/>
      <c r="T39" s="48"/>
      <c r="U39" s="48"/>
      <c r="V39" s="48"/>
      <c r="W39" s="48"/>
      <c r="X39" s="48"/>
      <c r="Y39" s="48"/>
      <c r="Z39" s="44"/>
      <c r="AA39" s="44"/>
      <c r="AB39" s="44"/>
    </row>
    <row r="40" spans="1:28" ht="15.6">
      <c r="A40" s="572">
        <f t="shared" si="0"/>
        <v>33</v>
      </c>
      <c r="B40" s="628" t="s">
        <v>1726</v>
      </c>
      <c r="C40" s="1255">
        <v>0.2</v>
      </c>
      <c r="D40" s="1254">
        <v>0</v>
      </c>
      <c r="E40" s="1254">
        <v>0</v>
      </c>
      <c r="F40" s="628">
        <v>0</v>
      </c>
      <c r="G40" s="1254">
        <v>0</v>
      </c>
      <c r="H40" s="272">
        <f t="shared" si="1"/>
        <v>0</v>
      </c>
      <c r="I40" s="217"/>
      <c r="J40" s="217"/>
      <c r="K40" s="44"/>
      <c r="L40" s="44"/>
      <c r="M40" s="48"/>
      <c r="N40" s="48"/>
      <c r="O40" s="48"/>
      <c r="P40" s="48"/>
      <c r="Q40" s="48"/>
      <c r="R40" s="48"/>
      <c r="S40" s="48"/>
      <c r="T40" s="48"/>
      <c r="U40" s="48"/>
      <c r="V40" s="48"/>
      <c r="W40" s="48"/>
      <c r="X40" s="48"/>
      <c r="Y40" s="48"/>
      <c r="Z40" s="44"/>
      <c r="AA40" s="44"/>
      <c r="AB40" s="44"/>
    </row>
    <row r="41" spans="1:28" ht="15.6">
      <c r="A41" s="572">
        <f t="shared" si="0"/>
        <v>34</v>
      </c>
      <c r="B41" s="628" t="s">
        <v>1727</v>
      </c>
      <c r="C41" s="1255">
        <v>0.2</v>
      </c>
      <c r="D41" s="1254">
        <v>0</v>
      </c>
      <c r="E41" s="1254">
        <v>0</v>
      </c>
      <c r="F41" s="1254">
        <v>0</v>
      </c>
      <c r="G41" s="1254">
        <v>0</v>
      </c>
      <c r="H41" s="272">
        <f t="shared" si="1"/>
        <v>0</v>
      </c>
      <c r="I41" s="217"/>
      <c r="J41" s="217"/>
      <c r="K41" s="44"/>
      <c r="L41" s="44"/>
      <c r="M41" s="48"/>
      <c r="N41" s="48"/>
      <c r="O41" s="48"/>
      <c r="P41" s="48"/>
      <c r="Q41" s="48"/>
      <c r="R41" s="48"/>
      <c r="S41" s="48"/>
      <c r="T41" s="48"/>
      <c r="U41" s="48"/>
      <c r="V41" s="48"/>
      <c r="W41" s="48"/>
      <c r="X41" s="48"/>
      <c r="Y41" s="48"/>
      <c r="Z41" s="44"/>
      <c r="AA41" s="44"/>
      <c r="AB41" s="44"/>
    </row>
    <row r="42" spans="1:28" ht="15.6">
      <c r="A42" s="572">
        <f t="shared" si="0"/>
        <v>35</v>
      </c>
      <c r="B42" s="1264" t="s">
        <v>1728</v>
      </c>
      <c r="C42" s="1255">
        <v>0.2</v>
      </c>
      <c r="D42" s="1254">
        <v>0</v>
      </c>
      <c r="E42" s="1254">
        <v>0</v>
      </c>
      <c r="F42" s="628">
        <v>0</v>
      </c>
      <c r="G42" s="1254">
        <v>0</v>
      </c>
      <c r="H42" s="272">
        <f t="shared" si="1"/>
        <v>0</v>
      </c>
      <c r="I42" s="217"/>
      <c r="J42" s="217"/>
      <c r="K42" s="44"/>
      <c r="L42" s="44"/>
      <c r="M42" s="48"/>
      <c r="N42" s="48"/>
      <c r="O42" s="48"/>
      <c r="P42" s="48"/>
      <c r="Q42" s="48"/>
      <c r="R42" s="48"/>
      <c r="S42" s="48"/>
      <c r="T42" s="48"/>
      <c r="U42" s="48"/>
      <c r="V42" s="48"/>
      <c r="W42" s="48"/>
      <c r="X42" s="48"/>
      <c r="Y42" s="48"/>
      <c r="Z42" s="44"/>
      <c r="AA42" s="44"/>
      <c r="AB42" s="44"/>
    </row>
    <row r="43" spans="1:28" ht="15.6">
      <c r="A43" s="572">
        <f t="shared" si="0"/>
        <v>36</v>
      </c>
      <c r="B43" s="628" t="s">
        <v>1729</v>
      </c>
      <c r="C43" s="1255">
        <v>0.2</v>
      </c>
      <c r="D43" s="1254">
        <v>0</v>
      </c>
      <c r="E43" s="1254">
        <v>0</v>
      </c>
      <c r="F43" s="628">
        <v>0</v>
      </c>
      <c r="G43" s="1254">
        <v>0</v>
      </c>
      <c r="H43" s="272">
        <f t="shared" si="1"/>
        <v>0</v>
      </c>
      <c r="I43" s="217"/>
      <c r="J43" s="217"/>
      <c r="K43" s="44"/>
      <c r="L43" s="44"/>
      <c r="M43" s="48"/>
      <c r="N43" s="48"/>
      <c r="O43" s="48"/>
      <c r="P43" s="48"/>
      <c r="Q43" s="48"/>
      <c r="R43" s="48"/>
      <c r="S43" s="48"/>
      <c r="T43" s="48"/>
      <c r="U43" s="48"/>
      <c r="V43" s="48"/>
      <c r="W43" s="48"/>
      <c r="X43" s="48"/>
      <c r="Y43" s="48"/>
      <c r="Z43" s="44"/>
      <c r="AA43" s="44"/>
      <c r="AB43" s="44"/>
    </row>
    <row r="44" spans="1:28" ht="15.6">
      <c r="A44" s="572">
        <f t="shared" si="0"/>
        <v>37</v>
      </c>
      <c r="B44" s="628" t="s">
        <v>1730</v>
      </c>
      <c r="C44" s="1255">
        <v>0.2</v>
      </c>
      <c r="D44" s="1254">
        <v>0</v>
      </c>
      <c r="E44" s="1254">
        <v>0</v>
      </c>
      <c r="F44" s="628">
        <v>0</v>
      </c>
      <c r="G44" s="1254">
        <v>0</v>
      </c>
      <c r="H44" s="272">
        <f t="shared" si="1"/>
        <v>0</v>
      </c>
      <c r="I44" s="217"/>
      <c r="J44" s="217"/>
      <c r="K44" s="44"/>
      <c r="L44" s="44"/>
      <c r="M44" s="48"/>
      <c r="N44" s="48"/>
      <c r="O44" s="48"/>
      <c r="P44" s="48"/>
      <c r="Q44" s="48"/>
      <c r="R44" s="48"/>
      <c r="S44" s="48"/>
      <c r="T44" s="48"/>
      <c r="U44" s="48"/>
      <c r="V44" s="48"/>
      <c r="W44" s="48"/>
      <c r="X44" s="48"/>
      <c r="Y44" s="48"/>
      <c r="Z44" s="44"/>
      <c r="AA44" s="44"/>
      <c r="AB44" s="44"/>
    </row>
    <row r="45" spans="1:28" ht="15.6">
      <c r="A45" s="572">
        <f t="shared" si="0"/>
        <v>38</v>
      </c>
      <c r="B45" s="628" t="s">
        <v>1731</v>
      </c>
      <c r="C45" s="1255">
        <v>0.2</v>
      </c>
      <c r="D45" s="1254">
        <v>0</v>
      </c>
      <c r="E45" s="1254">
        <v>0</v>
      </c>
      <c r="F45" s="628">
        <v>0</v>
      </c>
      <c r="G45" s="1254">
        <v>0</v>
      </c>
      <c r="H45" s="272">
        <f t="shared" si="1"/>
        <v>0</v>
      </c>
      <c r="I45" s="217"/>
      <c r="J45" s="217"/>
      <c r="K45" s="44"/>
      <c r="L45" s="44"/>
      <c r="M45" s="48"/>
      <c r="N45" s="48"/>
      <c r="O45" s="48"/>
      <c r="P45" s="48"/>
      <c r="Q45" s="48"/>
      <c r="R45" s="48"/>
      <c r="S45" s="48"/>
      <c r="T45" s="48"/>
      <c r="U45" s="48"/>
      <c r="V45" s="48"/>
      <c r="W45" s="48"/>
      <c r="X45" s="48"/>
      <c r="Y45" s="48"/>
      <c r="Z45" s="44"/>
      <c r="AA45" s="44"/>
      <c r="AB45" s="44"/>
    </row>
    <row r="46" spans="1:28" ht="15.6">
      <c r="A46" s="572">
        <f t="shared" si="0"/>
        <v>39</v>
      </c>
      <c r="B46" s="628" t="s">
        <v>1732</v>
      </c>
      <c r="C46" s="1255">
        <v>0.2</v>
      </c>
      <c r="D46" s="1254">
        <v>0</v>
      </c>
      <c r="E46" s="1254">
        <v>0</v>
      </c>
      <c r="F46" s="1254">
        <v>0</v>
      </c>
      <c r="G46" s="1254">
        <v>0</v>
      </c>
      <c r="H46" s="272">
        <f t="shared" si="1"/>
        <v>0</v>
      </c>
      <c r="I46" s="217"/>
      <c r="J46" s="217"/>
      <c r="K46" s="44"/>
      <c r="L46" s="44"/>
      <c r="M46" s="48"/>
      <c r="N46" s="48"/>
      <c r="O46" s="48"/>
      <c r="P46" s="48"/>
      <c r="Q46" s="48"/>
      <c r="R46" s="48"/>
      <c r="S46" s="48"/>
      <c r="T46" s="48"/>
      <c r="U46" s="48"/>
      <c r="V46" s="48"/>
      <c r="W46" s="48"/>
      <c r="X46" s="48"/>
      <c r="Y46" s="48"/>
      <c r="Z46" s="44"/>
      <c r="AA46" s="44"/>
      <c r="AB46" s="44"/>
    </row>
    <row r="47" spans="1:28" ht="15.6">
      <c r="A47" s="572">
        <f t="shared" si="0"/>
        <v>40</v>
      </c>
      <c r="B47" s="628" t="s">
        <v>1733</v>
      </c>
      <c r="C47" s="1255">
        <v>0.2</v>
      </c>
      <c r="D47" s="1254">
        <v>0</v>
      </c>
      <c r="E47" s="1254">
        <v>0</v>
      </c>
      <c r="F47" s="628">
        <v>0</v>
      </c>
      <c r="G47" s="1254">
        <v>0</v>
      </c>
      <c r="H47" s="272">
        <f t="shared" si="1"/>
        <v>0</v>
      </c>
      <c r="I47" s="217"/>
      <c r="J47" s="217"/>
      <c r="K47" s="44"/>
      <c r="L47" s="44"/>
      <c r="M47" s="48"/>
      <c r="N47" s="48"/>
      <c r="O47" s="48"/>
      <c r="P47" s="48"/>
      <c r="Q47" s="48"/>
      <c r="R47" s="48"/>
      <c r="S47" s="48"/>
      <c r="T47" s="48"/>
      <c r="U47" s="48"/>
      <c r="V47" s="48"/>
      <c r="W47" s="48"/>
      <c r="X47" s="48"/>
      <c r="Y47" s="48"/>
      <c r="Z47" s="44"/>
      <c r="AA47" s="44"/>
      <c r="AB47" s="44"/>
    </row>
    <row r="48" spans="1:28" ht="15.6">
      <c r="A48" s="572">
        <f t="shared" si="0"/>
        <v>41</v>
      </c>
      <c r="B48" s="628" t="s">
        <v>1734</v>
      </c>
      <c r="C48" s="1255">
        <v>0.2</v>
      </c>
      <c r="D48" s="1254">
        <v>0</v>
      </c>
      <c r="E48" s="1254">
        <v>0</v>
      </c>
      <c r="F48" s="1254">
        <v>0</v>
      </c>
      <c r="G48" s="1254">
        <v>0</v>
      </c>
      <c r="H48" s="272">
        <f t="shared" si="1"/>
        <v>0</v>
      </c>
      <c r="I48" s="217"/>
      <c r="J48" s="217"/>
      <c r="K48" s="44"/>
      <c r="L48" s="44"/>
      <c r="M48" s="48"/>
      <c r="N48" s="48"/>
      <c r="O48" s="48"/>
      <c r="P48" s="48"/>
      <c r="Q48" s="48"/>
      <c r="R48" s="48"/>
      <c r="S48" s="48"/>
      <c r="T48" s="48"/>
      <c r="U48" s="48"/>
      <c r="V48" s="48"/>
      <c r="W48" s="48"/>
      <c r="X48" s="48"/>
      <c r="Y48" s="48"/>
      <c r="Z48" s="44"/>
      <c r="AA48" s="44"/>
      <c r="AB48" s="44"/>
    </row>
    <row r="49" spans="1:28" ht="15.6">
      <c r="A49" s="572">
        <f t="shared" si="0"/>
        <v>42</v>
      </c>
      <c r="B49" s="628" t="s">
        <v>74</v>
      </c>
      <c r="C49" s="1255">
        <v>0.2</v>
      </c>
      <c r="D49" s="1254">
        <v>-391734.65</v>
      </c>
      <c r="E49" s="1254">
        <v>0</v>
      </c>
      <c r="F49" s="1254">
        <v>0</v>
      </c>
      <c r="G49" s="1254">
        <v>0</v>
      </c>
      <c r="H49" s="272">
        <f t="shared" si="1"/>
        <v>-391734.65</v>
      </c>
      <c r="I49" s="217"/>
      <c r="J49" s="217"/>
      <c r="K49" s="44"/>
      <c r="L49" s="44"/>
      <c r="M49" s="48"/>
      <c r="N49" s="48"/>
      <c r="O49" s="48"/>
      <c r="P49" s="48"/>
      <c r="Q49" s="48"/>
      <c r="R49" s="48"/>
      <c r="S49" s="48"/>
      <c r="T49" s="48"/>
      <c r="U49" s="48"/>
      <c r="V49" s="48"/>
      <c r="W49" s="48"/>
      <c r="X49" s="48"/>
      <c r="Y49" s="48"/>
      <c r="Z49" s="44"/>
      <c r="AA49" s="44"/>
      <c r="AB49" s="44"/>
    </row>
    <row r="50" spans="1:28" ht="15.6">
      <c r="A50" s="572">
        <f t="shared" si="0"/>
        <v>43</v>
      </c>
      <c r="B50" s="628" t="s">
        <v>75</v>
      </c>
      <c r="C50" s="1255">
        <v>0.2</v>
      </c>
      <c r="D50" s="1254">
        <v>1.0000000000509324E-2</v>
      </c>
      <c r="E50" s="1254">
        <v>0</v>
      </c>
      <c r="F50" s="1254">
        <v>0</v>
      </c>
      <c r="G50" s="1254">
        <v>0</v>
      </c>
      <c r="H50" s="272">
        <f t="shared" si="1"/>
        <v>1.0000000000509324E-2</v>
      </c>
      <c r="I50" s="217"/>
      <c r="J50" s="217"/>
      <c r="K50" s="44"/>
      <c r="L50" s="44"/>
      <c r="M50" s="48"/>
      <c r="N50" s="48"/>
      <c r="O50" s="48"/>
      <c r="P50" s="48"/>
      <c r="Q50" s="48"/>
      <c r="R50" s="48"/>
      <c r="S50" s="48"/>
      <c r="T50" s="48"/>
      <c r="U50" s="48"/>
      <c r="V50" s="48"/>
      <c r="W50" s="48"/>
      <c r="X50" s="48"/>
      <c r="Y50" s="48"/>
      <c r="Z50" s="44"/>
      <c r="AA50" s="44"/>
      <c r="AB50" s="44"/>
    </row>
    <row r="51" spans="1:28" ht="15.6">
      <c r="A51" s="572">
        <f t="shared" si="0"/>
        <v>44</v>
      </c>
      <c r="B51" s="628" t="s">
        <v>76</v>
      </c>
      <c r="C51" s="1255">
        <v>0.2</v>
      </c>
      <c r="D51" s="1254">
        <v>-667069.63</v>
      </c>
      <c r="E51" s="1254">
        <v>0</v>
      </c>
      <c r="F51" s="1254">
        <v>0</v>
      </c>
      <c r="G51" s="1254">
        <v>0</v>
      </c>
      <c r="H51" s="272">
        <f t="shared" si="1"/>
        <v>-667069.63</v>
      </c>
      <c r="I51" s="217"/>
      <c r="J51" s="217"/>
      <c r="K51" s="44"/>
      <c r="L51" s="44"/>
      <c r="M51" s="48"/>
      <c r="N51" s="48"/>
      <c r="O51" s="48"/>
      <c r="P51" s="48"/>
      <c r="Q51" s="48"/>
      <c r="R51" s="48"/>
      <c r="S51" s="48"/>
      <c r="T51" s="48"/>
      <c r="U51" s="48"/>
      <c r="V51" s="48"/>
      <c r="W51" s="48"/>
      <c r="X51" s="48"/>
      <c r="Y51" s="48"/>
      <c r="Z51" s="44"/>
      <c r="AA51" s="44"/>
      <c r="AB51" s="44"/>
    </row>
    <row r="52" spans="1:28" ht="15.6">
      <c r="A52" s="572">
        <f t="shared" si="0"/>
        <v>45</v>
      </c>
      <c r="B52" s="628" t="s">
        <v>77</v>
      </c>
      <c r="C52" s="1255">
        <v>0.2</v>
      </c>
      <c r="D52" s="1254">
        <v>-427697.04000000004</v>
      </c>
      <c r="E52" s="1254">
        <v>0</v>
      </c>
      <c r="F52" s="1254">
        <v>0</v>
      </c>
      <c r="G52" s="1254">
        <v>0</v>
      </c>
      <c r="H52" s="272">
        <f t="shared" si="1"/>
        <v>-427697.04000000004</v>
      </c>
      <c r="I52" s="217"/>
      <c r="J52" s="217"/>
      <c r="K52" s="44"/>
      <c r="L52" s="44"/>
      <c r="M52" s="48"/>
      <c r="N52" s="48"/>
      <c r="O52" s="48"/>
      <c r="P52" s="48"/>
      <c r="Q52" s="48"/>
      <c r="R52" s="48"/>
      <c r="S52" s="48"/>
      <c r="T52" s="48"/>
      <c r="U52" s="48"/>
      <c r="V52" s="48"/>
      <c r="W52" s="48"/>
      <c r="X52" s="48"/>
      <c r="Y52" s="48"/>
      <c r="Z52" s="44"/>
      <c r="AA52" s="44"/>
      <c r="AB52" s="44"/>
    </row>
    <row r="53" spans="1:28" ht="15.6">
      <c r="A53" s="572">
        <f t="shared" si="0"/>
        <v>46</v>
      </c>
      <c r="B53" s="628" t="s">
        <v>1666</v>
      </c>
      <c r="C53" s="1255">
        <v>0.2</v>
      </c>
      <c r="D53" s="1254">
        <v>-548878.03</v>
      </c>
      <c r="E53" s="1254">
        <v>0</v>
      </c>
      <c r="F53" s="1254">
        <v>0</v>
      </c>
      <c r="G53" s="1254">
        <v>0</v>
      </c>
      <c r="H53" s="272">
        <f t="shared" si="1"/>
        <v>-548878.03</v>
      </c>
      <c r="I53" s="217"/>
      <c r="J53" s="217"/>
      <c r="K53" s="44"/>
      <c r="L53" s="44"/>
      <c r="M53" s="48"/>
      <c r="N53" s="48"/>
      <c r="O53" s="48"/>
      <c r="P53" s="48"/>
      <c r="Q53" s="48"/>
      <c r="R53" s="48"/>
      <c r="S53" s="48"/>
      <c r="T53" s="48"/>
      <c r="U53" s="48"/>
      <c r="V53" s="48"/>
      <c r="W53" s="48"/>
      <c r="X53" s="48"/>
      <c r="Y53" s="48"/>
      <c r="Z53" s="44"/>
      <c r="AA53" s="44"/>
      <c r="AB53" s="44"/>
    </row>
    <row r="54" spans="1:28" ht="15.6">
      <c r="A54" s="572">
        <f t="shared" si="0"/>
        <v>47</v>
      </c>
      <c r="B54" s="1295" t="s">
        <v>1664</v>
      </c>
      <c r="C54" s="1255">
        <v>0.2</v>
      </c>
      <c r="D54" s="1254">
        <v>0</v>
      </c>
      <c r="E54" s="1254">
        <v>0</v>
      </c>
      <c r="F54" s="1254">
        <v>0</v>
      </c>
      <c r="G54" s="1254">
        <v>0</v>
      </c>
      <c r="H54" s="272">
        <f t="shared" si="1"/>
        <v>0</v>
      </c>
      <c r="I54" s="217"/>
      <c r="J54" s="217"/>
      <c r="K54" s="44"/>
      <c r="L54" s="44"/>
      <c r="M54" s="48"/>
      <c r="N54" s="48"/>
      <c r="O54" s="48"/>
      <c r="P54" s="48"/>
      <c r="Q54" s="48"/>
      <c r="R54" s="48"/>
      <c r="S54" s="48"/>
      <c r="T54" s="48"/>
      <c r="U54" s="48"/>
      <c r="V54" s="48"/>
      <c r="W54" s="48"/>
      <c r="X54" s="48"/>
      <c r="Y54" s="48"/>
      <c r="Z54" s="44"/>
      <c r="AA54" s="44"/>
      <c r="AB54" s="44"/>
    </row>
    <row r="55" spans="1:28" ht="15.6">
      <c r="A55" s="572">
        <f t="shared" si="0"/>
        <v>48</v>
      </c>
      <c r="B55" s="628" t="s">
        <v>1665</v>
      </c>
      <c r="C55" s="1255">
        <v>0.2</v>
      </c>
      <c r="D55" s="1254">
        <v>-399868.87</v>
      </c>
      <c r="E55" s="1254">
        <v>0</v>
      </c>
      <c r="F55" s="1254">
        <v>0</v>
      </c>
      <c r="G55" s="1254">
        <v>0</v>
      </c>
      <c r="H55" s="272">
        <f t="shared" si="1"/>
        <v>-399868.87</v>
      </c>
      <c r="I55" s="217"/>
      <c r="J55" s="217"/>
      <c r="K55" s="44"/>
      <c r="L55" s="44"/>
      <c r="M55" s="48"/>
      <c r="N55" s="48"/>
      <c r="O55" s="48"/>
      <c r="P55" s="48"/>
      <c r="Q55" s="48"/>
      <c r="R55" s="48"/>
      <c r="S55" s="48"/>
      <c r="T55" s="48"/>
      <c r="U55" s="48"/>
      <c r="V55" s="48"/>
      <c r="W55" s="48"/>
      <c r="X55" s="48"/>
      <c r="Y55" s="48"/>
      <c r="Z55" s="44"/>
      <c r="AA55" s="44"/>
      <c r="AB55" s="44"/>
    </row>
    <row r="56" spans="1:28" ht="15.6">
      <c r="A56" s="572">
        <f t="shared" si="0"/>
        <v>49</v>
      </c>
      <c r="B56" s="628" t="s">
        <v>1735</v>
      </c>
      <c r="C56" s="1255">
        <v>0.2</v>
      </c>
      <c r="D56" s="1254">
        <v>0</v>
      </c>
      <c r="E56" s="1254">
        <v>0</v>
      </c>
      <c r="F56" s="1254">
        <v>0</v>
      </c>
      <c r="G56" s="1254">
        <v>0</v>
      </c>
      <c r="H56" s="272">
        <f t="shared" si="1"/>
        <v>0</v>
      </c>
      <c r="I56" s="217"/>
      <c r="J56" s="217"/>
      <c r="K56" s="44"/>
      <c r="L56" s="44"/>
      <c r="M56" s="48"/>
      <c r="N56" s="48"/>
      <c r="O56" s="48"/>
      <c r="P56" s="48"/>
      <c r="Q56" s="48"/>
      <c r="R56" s="48"/>
      <c r="S56" s="48"/>
      <c r="T56" s="48"/>
      <c r="U56" s="48"/>
      <c r="V56" s="48"/>
      <c r="W56" s="48"/>
      <c r="X56" s="48"/>
      <c r="Y56" s="48"/>
      <c r="Z56" s="44"/>
      <c r="AA56" s="44"/>
      <c r="AB56" s="44"/>
    </row>
    <row r="57" spans="1:28" ht="15.6">
      <c r="A57" s="572">
        <f t="shared" si="0"/>
        <v>50</v>
      </c>
      <c r="B57" s="628" t="s">
        <v>1736</v>
      </c>
      <c r="C57" s="1255">
        <v>0.2</v>
      </c>
      <c r="D57" s="1254">
        <v>-134168</v>
      </c>
      <c r="E57" s="1254">
        <v>0</v>
      </c>
      <c r="F57" s="1254">
        <v>0</v>
      </c>
      <c r="G57" s="1254">
        <v>0</v>
      </c>
      <c r="H57" s="272">
        <f t="shared" si="1"/>
        <v>-134168</v>
      </c>
      <c r="I57" s="217"/>
      <c r="J57" s="217"/>
      <c r="K57" s="44"/>
      <c r="L57" s="44"/>
      <c r="M57" s="48"/>
      <c r="N57" s="48"/>
      <c r="O57" s="48"/>
      <c r="P57" s="48"/>
      <c r="Q57" s="48"/>
      <c r="R57" s="48"/>
      <c r="S57" s="48"/>
      <c r="T57" s="48"/>
      <c r="U57" s="48"/>
      <c r="V57" s="48"/>
      <c r="W57" s="48"/>
      <c r="X57" s="48"/>
      <c r="Y57" s="48"/>
      <c r="Z57" s="44"/>
      <c r="AA57" s="44"/>
      <c r="AB57" s="44"/>
    </row>
    <row r="58" spans="1:28" ht="15.6">
      <c r="A58" s="572">
        <f t="shared" si="0"/>
        <v>51</v>
      </c>
      <c r="B58" s="628" t="s">
        <v>2646</v>
      </c>
      <c r="C58" s="1255">
        <v>0.2</v>
      </c>
      <c r="D58" s="1254">
        <v>-569881.04</v>
      </c>
      <c r="E58" s="1254">
        <v>0</v>
      </c>
      <c r="F58" s="1254">
        <v>0</v>
      </c>
      <c r="G58" s="1254">
        <v>0</v>
      </c>
      <c r="H58" s="272">
        <f t="shared" si="1"/>
        <v>-569881.04</v>
      </c>
      <c r="I58" s="217"/>
      <c r="J58" s="217"/>
      <c r="K58" s="44"/>
      <c r="L58" s="44"/>
      <c r="M58" s="48"/>
      <c r="N58" s="48"/>
      <c r="O58" s="48"/>
      <c r="P58" s="48"/>
      <c r="Q58" s="48"/>
      <c r="R58" s="48"/>
      <c r="S58" s="48"/>
      <c r="T58" s="48"/>
      <c r="U58" s="48"/>
      <c r="V58" s="48"/>
      <c r="W58" s="48"/>
      <c r="X58" s="48"/>
      <c r="Y58" s="48"/>
      <c r="Z58" s="44"/>
      <c r="AA58" s="44"/>
      <c r="AB58" s="44"/>
    </row>
    <row r="59" spans="1:28" ht="15.6">
      <c r="A59" s="572">
        <f t="shared" si="0"/>
        <v>52</v>
      </c>
      <c r="B59" s="628" t="s">
        <v>1738</v>
      </c>
      <c r="C59" s="1255">
        <v>0.2</v>
      </c>
      <c r="D59" s="1254">
        <v>-102894.12</v>
      </c>
      <c r="E59" s="1254">
        <v>0</v>
      </c>
      <c r="F59" s="1254">
        <v>0</v>
      </c>
      <c r="G59" s="1254">
        <v>0</v>
      </c>
      <c r="H59" s="272">
        <f t="shared" si="1"/>
        <v>-102894.12</v>
      </c>
      <c r="I59" s="217"/>
      <c r="J59" s="217"/>
      <c r="K59" s="44"/>
      <c r="L59" s="44"/>
      <c r="M59" s="48"/>
      <c r="N59" s="48"/>
      <c r="O59" s="48"/>
      <c r="P59" s="48"/>
      <c r="Q59" s="48"/>
      <c r="R59" s="48"/>
      <c r="S59" s="48"/>
      <c r="T59" s="48"/>
      <c r="U59" s="48"/>
      <c r="V59" s="48"/>
      <c r="W59" s="48"/>
      <c r="X59" s="48"/>
      <c r="Y59" s="48"/>
      <c r="Z59" s="44"/>
      <c r="AA59" s="44"/>
      <c r="AB59" s="44"/>
    </row>
    <row r="60" spans="1:28" ht="15.6">
      <c r="A60" s="572">
        <f t="shared" si="0"/>
        <v>53</v>
      </c>
      <c r="B60" s="628" t="s">
        <v>2928</v>
      </c>
      <c r="C60" s="1255">
        <v>0.2</v>
      </c>
      <c r="D60" s="1254">
        <v>0</v>
      </c>
      <c r="E60" s="1254">
        <v>0</v>
      </c>
      <c r="F60" s="1254">
        <v>0</v>
      </c>
      <c r="G60" s="1254">
        <v>0</v>
      </c>
      <c r="H60" s="272">
        <f t="shared" si="1"/>
        <v>0</v>
      </c>
      <c r="I60" s="217"/>
      <c r="J60" s="217"/>
      <c r="K60" s="44"/>
      <c r="L60" s="44"/>
      <c r="M60" s="48"/>
      <c r="N60" s="48"/>
      <c r="O60" s="48"/>
      <c r="P60" s="48"/>
      <c r="Q60" s="48"/>
      <c r="R60" s="48"/>
      <c r="S60" s="48"/>
      <c r="T60" s="48"/>
      <c r="U60" s="48"/>
      <c r="V60" s="48"/>
      <c r="W60" s="48"/>
      <c r="X60" s="48"/>
      <c r="Y60" s="48"/>
      <c r="Z60" s="44"/>
      <c r="AA60" s="44"/>
      <c r="AB60" s="44"/>
    </row>
    <row r="61" spans="1:28" ht="31.2">
      <c r="A61" s="572">
        <f t="shared" si="0"/>
        <v>54</v>
      </c>
      <c r="B61" s="1264" t="s">
        <v>1864</v>
      </c>
      <c r="C61" s="1255">
        <v>0.2</v>
      </c>
      <c r="D61" s="1254">
        <v>-3682670.21</v>
      </c>
      <c r="E61" s="1254">
        <v>0</v>
      </c>
      <c r="F61" s="1254">
        <v>0</v>
      </c>
      <c r="G61" s="1254">
        <v>0</v>
      </c>
      <c r="H61" s="272">
        <f t="shared" si="1"/>
        <v>-3682670.21</v>
      </c>
      <c r="I61" s="217"/>
      <c r="J61" s="217"/>
      <c r="K61" s="44"/>
      <c r="L61" s="44"/>
      <c r="M61" s="48"/>
      <c r="N61" s="48"/>
      <c r="O61" s="48"/>
      <c r="P61" s="48"/>
      <c r="Q61" s="48"/>
      <c r="R61" s="48"/>
      <c r="S61" s="48"/>
      <c r="T61" s="48"/>
      <c r="U61" s="48"/>
      <c r="V61" s="48"/>
      <c r="W61" s="48"/>
      <c r="X61" s="48"/>
      <c r="Y61" s="48"/>
      <c r="Z61" s="44"/>
      <c r="AA61" s="44"/>
      <c r="AB61" s="44"/>
    </row>
    <row r="62" spans="1:28" ht="15.6">
      <c r="A62" s="572">
        <f t="shared" si="0"/>
        <v>55</v>
      </c>
      <c r="B62" s="1264" t="s">
        <v>2420</v>
      </c>
      <c r="C62" s="1255">
        <v>0.2</v>
      </c>
      <c r="D62" s="1254">
        <v>0</v>
      </c>
      <c r="E62" s="1254">
        <v>0</v>
      </c>
      <c r="F62" s="1254">
        <v>0</v>
      </c>
      <c r="G62" s="1254">
        <v>0</v>
      </c>
      <c r="H62" s="272">
        <f t="shared" si="1"/>
        <v>0</v>
      </c>
      <c r="I62" s="217"/>
      <c r="J62" s="217"/>
      <c r="K62" s="44"/>
      <c r="L62" s="44"/>
      <c r="M62" s="48"/>
      <c r="N62" s="48"/>
      <c r="O62" s="48"/>
      <c r="P62" s="48"/>
      <c r="Q62" s="48"/>
      <c r="R62" s="48"/>
      <c r="S62" s="48"/>
      <c r="T62" s="48"/>
      <c r="U62" s="48"/>
      <c r="V62" s="48"/>
      <c r="W62" s="48"/>
      <c r="X62" s="48"/>
      <c r="Y62" s="48"/>
      <c r="Z62" s="44"/>
      <c r="AA62" s="44"/>
      <c r="AB62" s="44"/>
    </row>
    <row r="63" spans="1:28" ht="15.6">
      <c r="A63" s="572">
        <f t="shared" si="0"/>
        <v>56</v>
      </c>
      <c r="B63" s="1264" t="s">
        <v>2421</v>
      </c>
      <c r="C63" s="1255">
        <v>0.2</v>
      </c>
      <c r="D63" s="1254">
        <v>9.313225537987968E-12</v>
      </c>
      <c r="E63" s="1254">
        <v>0</v>
      </c>
      <c r="F63" s="1254">
        <v>0</v>
      </c>
      <c r="G63" s="1254">
        <v>0</v>
      </c>
      <c r="H63" s="272">
        <f t="shared" si="1"/>
        <v>9.313225537987968E-12</v>
      </c>
      <c r="I63" s="217"/>
      <c r="J63" s="217"/>
      <c r="K63" s="44"/>
      <c r="L63" s="44"/>
      <c r="M63" s="48"/>
      <c r="N63" s="48"/>
      <c r="O63" s="48"/>
      <c r="P63" s="48"/>
      <c r="Q63" s="48"/>
      <c r="R63" s="48"/>
      <c r="S63" s="48"/>
      <c r="T63" s="48"/>
      <c r="U63" s="48"/>
      <c r="V63" s="48"/>
      <c r="W63" s="48"/>
      <c r="X63" s="48"/>
      <c r="Y63" s="48"/>
      <c r="Z63" s="44"/>
      <c r="AA63" s="44"/>
      <c r="AB63" s="44"/>
    </row>
    <row r="64" spans="1:28" ht="15.6">
      <c r="A64" s="572">
        <f t="shared" si="0"/>
        <v>57</v>
      </c>
      <c r="B64" s="1264" t="s">
        <v>2422</v>
      </c>
      <c r="C64" s="1255">
        <v>0.2</v>
      </c>
      <c r="D64" s="1254">
        <v>-583314.82000000018</v>
      </c>
      <c r="E64" s="1254">
        <v>0</v>
      </c>
      <c r="F64" s="1254">
        <v>0</v>
      </c>
      <c r="G64" s="1254">
        <v>0</v>
      </c>
      <c r="H64" s="272">
        <f t="shared" si="1"/>
        <v>-583314.82000000018</v>
      </c>
      <c r="I64" s="217"/>
      <c r="J64" s="217"/>
      <c r="K64" s="44"/>
      <c r="L64" s="44"/>
      <c r="M64" s="48"/>
      <c r="N64" s="48"/>
      <c r="O64" s="48"/>
      <c r="P64" s="48"/>
      <c r="Q64" s="48"/>
      <c r="R64" s="48"/>
      <c r="S64" s="48"/>
      <c r="T64" s="48"/>
      <c r="U64" s="48"/>
      <c r="V64" s="48"/>
      <c r="W64" s="48"/>
      <c r="X64" s="48"/>
      <c r="Y64" s="48"/>
      <c r="Z64" s="44"/>
      <c r="AA64" s="44"/>
      <c r="AB64" s="44"/>
    </row>
    <row r="65" spans="1:28" ht="15.6">
      <c r="A65" s="572">
        <f t="shared" si="0"/>
        <v>58</v>
      </c>
      <c r="B65" s="1264" t="s">
        <v>2423</v>
      </c>
      <c r="C65" s="1255">
        <v>0.2</v>
      </c>
      <c r="D65" s="1254">
        <v>-134314.49</v>
      </c>
      <c r="E65" s="1254">
        <v>0</v>
      </c>
      <c r="F65" s="1254">
        <v>0</v>
      </c>
      <c r="G65" s="1254">
        <v>0</v>
      </c>
      <c r="H65" s="272">
        <f t="shared" si="1"/>
        <v>-134314.49</v>
      </c>
      <c r="I65" s="217"/>
      <c r="J65" s="217"/>
      <c r="K65" s="44"/>
      <c r="L65" s="44"/>
      <c r="M65" s="48"/>
      <c r="N65" s="48"/>
      <c r="O65" s="48"/>
      <c r="P65" s="48"/>
      <c r="Q65" s="48"/>
      <c r="R65" s="48"/>
      <c r="S65" s="48"/>
      <c r="T65" s="48"/>
      <c r="U65" s="48"/>
      <c r="V65" s="48"/>
      <c r="W65" s="48"/>
      <c r="X65" s="48"/>
      <c r="Y65" s="48"/>
      <c r="Z65" s="44"/>
      <c r="AA65" s="44"/>
      <c r="AB65" s="44"/>
    </row>
    <row r="66" spans="1:28" ht="15.6">
      <c r="A66" s="572">
        <f t="shared" si="0"/>
        <v>59</v>
      </c>
      <c r="B66" s="1264" t="s">
        <v>2424</v>
      </c>
      <c r="C66" s="1255">
        <v>0.2</v>
      </c>
      <c r="D66" s="1254">
        <v>-24482.059999999998</v>
      </c>
      <c r="E66" s="1254">
        <v>0</v>
      </c>
      <c r="F66" s="1254">
        <v>0</v>
      </c>
      <c r="G66" s="1254">
        <v>0</v>
      </c>
      <c r="H66" s="272">
        <f t="shared" si="1"/>
        <v>-24482.059999999998</v>
      </c>
      <c r="I66" s="217"/>
      <c r="J66" s="217"/>
      <c r="K66" s="44"/>
      <c r="L66" s="44"/>
      <c r="M66" s="48"/>
      <c r="N66" s="48"/>
      <c r="O66" s="48"/>
      <c r="P66" s="48"/>
      <c r="Q66" s="48"/>
      <c r="R66" s="48"/>
      <c r="S66" s="48"/>
      <c r="T66" s="48"/>
      <c r="U66" s="48"/>
      <c r="V66" s="48"/>
      <c r="W66" s="48"/>
      <c r="X66" s="48"/>
      <c r="Y66" s="48"/>
      <c r="Z66" s="44"/>
      <c r="AA66" s="44"/>
      <c r="AB66" s="44"/>
    </row>
    <row r="67" spans="1:28" ht="15.6">
      <c r="A67" s="572">
        <f t="shared" si="0"/>
        <v>60</v>
      </c>
      <c r="B67" s="1264" t="s">
        <v>2425</v>
      </c>
      <c r="C67" s="1255">
        <v>0.2</v>
      </c>
      <c r="D67" s="1254">
        <v>0</v>
      </c>
      <c r="E67" s="1254">
        <v>0</v>
      </c>
      <c r="F67" s="1254">
        <v>0</v>
      </c>
      <c r="G67" s="1254">
        <v>0</v>
      </c>
      <c r="H67" s="272">
        <f t="shared" si="1"/>
        <v>0</v>
      </c>
      <c r="I67" s="217"/>
      <c r="J67" s="217"/>
      <c r="K67" s="44"/>
      <c r="L67" s="44"/>
      <c r="M67" s="48"/>
      <c r="N67" s="48"/>
      <c r="O67" s="48"/>
      <c r="P67" s="48"/>
      <c r="Q67" s="48"/>
      <c r="R67" s="48"/>
      <c r="S67" s="48"/>
      <c r="T67" s="48"/>
      <c r="U67" s="48"/>
      <c r="V67" s="48"/>
      <c r="W67" s="48"/>
      <c r="X67" s="48"/>
      <c r="Y67" s="48"/>
      <c r="Z67" s="44"/>
      <c r="AA67" s="44"/>
      <c r="AB67" s="44"/>
    </row>
    <row r="68" spans="1:28" ht="20.399999999999999">
      <c r="A68" s="1730" t="s">
        <v>2988</v>
      </c>
      <c r="B68" s="1730"/>
      <c r="C68" s="1730"/>
      <c r="D68" s="1730"/>
      <c r="E68" s="1730"/>
      <c r="F68" s="1730"/>
      <c r="G68" s="1730"/>
      <c r="H68" s="1730"/>
      <c r="I68" s="217"/>
      <c r="J68" s="217"/>
      <c r="K68" s="44"/>
      <c r="L68" s="44"/>
      <c r="M68" s="48"/>
      <c r="N68" s="48"/>
      <c r="O68" s="48"/>
      <c r="P68" s="48"/>
      <c r="Q68" s="48"/>
      <c r="R68" s="48"/>
      <c r="S68" s="48"/>
      <c r="T68" s="48"/>
      <c r="U68" s="48"/>
      <c r="V68" s="48"/>
      <c r="W68" s="48"/>
      <c r="X68" s="48"/>
      <c r="Y68" s="48"/>
      <c r="Z68" s="44"/>
      <c r="AA68" s="44"/>
      <c r="AB68" s="44"/>
    </row>
    <row r="69" spans="1:28" ht="19.2">
      <c r="A69" s="1731" t="str">
        <f>A2</f>
        <v>For Contract Year Beginning June 1, 2024, Based on 2023 Data</v>
      </c>
      <c r="B69" s="1797"/>
      <c r="C69" s="1797"/>
      <c r="D69" s="1797"/>
      <c r="E69" s="1797"/>
      <c r="F69" s="1797"/>
      <c r="G69" s="1797"/>
      <c r="H69" s="1797"/>
      <c r="I69" s="217"/>
      <c r="J69" s="217"/>
      <c r="K69" s="44"/>
      <c r="L69" s="44"/>
      <c r="M69" s="48"/>
      <c r="N69" s="48"/>
      <c r="O69" s="48"/>
      <c r="P69" s="48"/>
      <c r="Q69" s="48"/>
      <c r="R69" s="48"/>
      <c r="S69" s="48"/>
      <c r="T69" s="48"/>
      <c r="U69" s="48"/>
      <c r="V69" s="48"/>
      <c r="W69" s="48"/>
      <c r="X69" s="48"/>
      <c r="Y69" s="48"/>
      <c r="Z69" s="44"/>
      <c r="AA69" s="44"/>
      <c r="AB69" s="44"/>
    </row>
    <row r="70" spans="1:28" ht="17.399999999999999">
      <c r="A70" s="16"/>
      <c r="B70" s="16"/>
      <c r="C70" s="39"/>
      <c r="D70" s="39"/>
      <c r="E70" s="39"/>
      <c r="F70" s="39"/>
      <c r="G70" s="39"/>
      <c r="H70" s="39"/>
      <c r="I70" s="217"/>
      <c r="J70" s="217"/>
      <c r="K70" s="44"/>
      <c r="L70" s="44"/>
      <c r="M70" s="48"/>
      <c r="N70" s="48"/>
      <c r="O70" s="48"/>
      <c r="P70" s="48"/>
      <c r="Q70" s="48"/>
      <c r="R70" s="48"/>
      <c r="S70" s="48"/>
      <c r="T70" s="48"/>
      <c r="U70" s="48"/>
      <c r="V70" s="48"/>
      <c r="W70" s="48"/>
      <c r="X70" s="48"/>
      <c r="Y70" s="48"/>
      <c r="Z70" s="44"/>
      <c r="AA70" s="44"/>
      <c r="AB70" s="44"/>
    </row>
    <row r="71" spans="1:28" ht="15.6">
      <c r="A71" s="8"/>
      <c r="B71" s="8"/>
      <c r="C71" s="414" t="s">
        <v>480</v>
      </c>
      <c r="D71" s="414" t="s">
        <v>481</v>
      </c>
      <c r="E71" s="414" t="s">
        <v>482</v>
      </c>
      <c r="F71" s="414" t="s">
        <v>483</v>
      </c>
      <c r="G71" s="414" t="s">
        <v>484</v>
      </c>
      <c r="H71" s="414" t="s">
        <v>884</v>
      </c>
      <c r="I71" s="217"/>
      <c r="J71" s="217"/>
      <c r="K71" s="44"/>
      <c r="L71" s="44"/>
      <c r="M71" s="48"/>
      <c r="N71" s="48"/>
      <c r="O71" s="48"/>
      <c r="P71" s="48"/>
      <c r="Q71" s="48"/>
      <c r="R71" s="48"/>
      <c r="S71" s="48"/>
      <c r="T71" s="48"/>
      <c r="U71" s="48"/>
      <c r="V71" s="48"/>
      <c r="W71" s="48"/>
      <c r="X71" s="48"/>
      <c r="Y71" s="48"/>
      <c r="Z71" s="44"/>
      <c r="AA71" s="44"/>
      <c r="AB71" s="44"/>
    </row>
    <row r="72" spans="1:28" ht="15.6">
      <c r="A72" s="318"/>
      <c r="B72" s="318"/>
      <c r="C72" s="318"/>
      <c r="D72" s="319" t="s">
        <v>469</v>
      </c>
      <c r="E72" s="319"/>
      <c r="F72" s="319"/>
      <c r="G72" s="319"/>
      <c r="H72" s="319" t="s">
        <v>2250</v>
      </c>
      <c r="I72" s="217"/>
      <c r="J72" s="217"/>
      <c r="K72" s="44"/>
      <c r="L72" s="44"/>
      <c r="M72" s="48"/>
      <c r="N72" s="48"/>
      <c r="O72" s="48"/>
      <c r="P72" s="48"/>
      <c r="Q72" s="48"/>
      <c r="R72" s="48"/>
      <c r="S72" s="48"/>
      <c r="T72" s="48"/>
      <c r="U72" s="48"/>
      <c r="V72" s="48"/>
      <c r="W72" s="48"/>
      <c r="X72" s="48"/>
      <c r="Y72" s="48"/>
      <c r="Z72" s="44"/>
      <c r="AA72" s="44"/>
      <c r="AB72" s="44"/>
    </row>
    <row r="73" spans="1:28" ht="15.6">
      <c r="A73" s="318"/>
      <c r="B73" s="318"/>
      <c r="C73" s="600" t="s">
        <v>2344</v>
      </c>
      <c r="D73" s="319" t="s">
        <v>655</v>
      </c>
      <c r="E73" s="319" t="s">
        <v>656</v>
      </c>
      <c r="F73" s="319" t="s">
        <v>656</v>
      </c>
      <c r="G73" s="319" t="s">
        <v>656</v>
      </c>
      <c r="H73" s="320" t="s">
        <v>2251</v>
      </c>
      <c r="I73" s="217"/>
      <c r="J73" s="217"/>
      <c r="K73" s="44"/>
      <c r="L73" s="44"/>
      <c r="M73" s="48"/>
      <c r="N73" s="48"/>
      <c r="O73" s="48"/>
      <c r="P73" s="48"/>
      <c r="Q73" s="48"/>
      <c r="R73" s="48"/>
      <c r="S73" s="48"/>
      <c r="T73" s="48"/>
      <c r="U73" s="48"/>
      <c r="V73" s="48"/>
      <c r="W73" s="48"/>
      <c r="X73" s="48"/>
      <c r="Y73" s="48"/>
      <c r="Z73" s="44"/>
      <c r="AA73" s="44"/>
      <c r="AB73" s="44"/>
    </row>
    <row r="74" spans="1:28" ht="18.600000000000001">
      <c r="A74" s="113" t="s">
        <v>494</v>
      </c>
      <c r="B74" s="397" t="s">
        <v>880</v>
      </c>
      <c r="C74" s="627" t="s">
        <v>2483</v>
      </c>
      <c r="D74" s="398" t="s">
        <v>2251</v>
      </c>
      <c r="E74" s="627" t="s">
        <v>2484</v>
      </c>
      <c r="F74" s="397" t="s">
        <v>515</v>
      </c>
      <c r="G74" s="397" t="s">
        <v>516</v>
      </c>
      <c r="H74" s="629" t="s">
        <v>2349</v>
      </c>
      <c r="I74" s="217"/>
      <c r="J74" s="217"/>
      <c r="K74" s="44"/>
      <c r="L74" s="44"/>
      <c r="M74" s="48"/>
      <c r="N74" s="48"/>
      <c r="O74" s="48"/>
      <c r="P74" s="48"/>
      <c r="Q74" s="48"/>
      <c r="R74" s="48"/>
      <c r="S74" s="48"/>
      <c r="T74" s="48"/>
      <c r="U74" s="48"/>
      <c r="V74" s="48"/>
      <c r="W74" s="48"/>
      <c r="X74" s="48"/>
      <c r="Y74" s="48"/>
      <c r="Z74" s="44"/>
      <c r="AA74" s="44"/>
      <c r="AB74" s="44"/>
    </row>
    <row r="75" spans="1:28" ht="15.6">
      <c r="A75" s="572">
        <f>A67+1</f>
        <v>61</v>
      </c>
      <c r="B75" s="1264" t="s">
        <v>2421</v>
      </c>
      <c r="C75" s="1255">
        <v>0.2</v>
      </c>
      <c r="D75" s="1254">
        <v>0</v>
      </c>
      <c r="E75" s="1254">
        <v>0</v>
      </c>
      <c r="F75" s="1254">
        <v>0</v>
      </c>
      <c r="G75" s="1254">
        <v>0</v>
      </c>
      <c r="H75" s="272">
        <f t="shared" si="1"/>
        <v>0</v>
      </c>
      <c r="I75" s="217"/>
      <c r="J75" s="217"/>
      <c r="K75" s="44"/>
      <c r="L75" s="44"/>
      <c r="M75" s="48"/>
      <c r="N75" s="48"/>
      <c r="O75" s="48"/>
      <c r="P75" s="48"/>
      <c r="Q75" s="48"/>
      <c r="R75" s="48"/>
      <c r="S75" s="48"/>
      <c r="T75" s="48"/>
      <c r="U75" s="48"/>
      <c r="V75" s="48"/>
      <c r="W75" s="48"/>
      <c r="X75" s="48"/>
      <c r="Y75" s="48"/>
      <c r="Z75" s="44"/>
      <c r="AA75" s="44"/>
      <c r="AB75" s="44"/>
    </row>
    <row r="76" spans="1:28" ht="15.6">
      <c r="A76" s="572">
        <f t="shared" ref="A76:A81" si="2">A75+1</f>
        <v>62</v>
      </c>
      <c r="B76" s="1264" t="s">
        <v>2426</v>
      </c>
      <c r="C76" s="1255">
        <v>0.2</v>
      </c>
      <c r="D76" s="1254">
        <v>0</v>
      </c>
      <c r="E76" s="1254">
        <v>0</v>
      </c>
      <c r="F76" s="1254">
        <v>0</v>
      </c>
      <c r="G76" s="1254">
        <v>0</v>
      </c>
      <c r="H76" s="272">
        <f t="shared" si="1"/>
        <v>0</v>
      </c>
      <c r="I76" s="217"/>
      <c r="J76" s="217"/>
      <c r="K76" s="44"/>
      <c r="L76" s="44"/>
      <c r="M76" s="48"/>
      <c r="N76" s="48"/>
      <c r="O76" s="48"/>
      <c r="P76" s="48"/>
      <c r="Q76" s="48"/>
      <c r="R76" s="48"/>
      <c r="S76" s="48"/>
      <c r="T76" s="48"/>
      <c r="U76" s="48"/>
      <c r="V76" s="48"/>
      <c r="W76" s="48"/>
      <c r="X76" s="48"/>
      <c r="Y76" s="48"/>
      <c r="Z76" s="44"/>
      <c r="AA76" s="44"/>
      <c r="AB76" s="44"/>
    </row>
    <row r="77" spans="1:28" ht="15.6">
      <c r="A77" s="572">
        <f t="shared" si="2"/>
        <v>63</v>
      </c>
      <c r="B77" s="1264" t="s">
        <v>1737</v>
      </c>
      <c r="C77" s="1255">
        <v>0.2</v>
      </c>
      <c r="D77" s="1254">
        <v>0</v>
      </c>
      <c r="E77" s="1254">
        <v>0</v>
      </c>
      <c r="F77" s="1254">
        <v>0</v>
      </c>
      <c r="G77" s="1254">
        <v>0</v>
      </c>
      <c r="H77" s="272">
        <f t="shared" si="1"/>
        <v>0</v>
      </c>
      <c r="I77" s="217"/>
      <c r="J77" s="217"/>
      <c r="K77" s="44"/>
      <c r="L77" s="44"/>
      <c r="M77" s="48"/>
      <c r="N77" s="48"/>
      <c r="O77" s="48"/>
      <c r="P77" s="48"/>
      <c r="Q77" s="48"/>
      <c r="R77" s="48"/>
      <c r="S77" s="48"/>
      <c r="T77" s="48"/>
      <c r="U77" s="48"/>
      <c r="V77" s="48"/>
      <c r="W77" s="48"/>
      <c r="X77" s="48"/>
      <c r="Y77" s="48"/>
      <c r="Z77" s="44"/>
      <c r="AA77" s="44"/>
      <c r="AB77" s="44"/>
    </row>
    <row r="78" spans="1:28" ht="15.6">
      <c r="A78" s="572">
        <f t="shared" si="2"/>
        <v>64</v>
      </c>
      <c r="B78" s="1264" t="s">
        <v>2427</v>
      </c>
      <c r="C78" s="1255">
        <v>0.2</v>
      </c>
      <c r="D78" s="1254">
        <v>0</v>
      </c>
      <c r="E78" s="1254">
        <v>0</v>
      </c>
      <c r="F78" s="1254">
        <v>0</v>
      </c>
      <c r="G78" s="1254">
        <v>0</v>
      </c>
      <c r="H78" s="272">
        <f t="shared" si="1"/>
        <v>0</v>
      </c>
      <c r="I78" s="217"/>
      <c r="J78" s="217"/>
      <c r="K78" s="44"/>
      <c r="L78" s="44"/>
      <c r="M78" s="48"/>
      <c r="N78" s="48"/>
      <c r="O78" s="48"/>
      <c r="P78" s="48"/>
      <c r="Q78" s="48"/>
      <c r="R78" s="48"/>
      <c r="S78" s="48"/>
      <c r="T78" s="48"/>
      <c r="U78" s="48"/>
      <c r="V78" s="48"/>
      <c r="W78" s="48"/>
      <c r="X78" s="48"/>
      <c r="Y78" s="48"/>
      <c r="Z78" s="44"/>
      <c r="AA78" s="44"/>
      <c r="AB78" s="44"/>
    </row>
    <row r="79" spans="1:28" ht="15.6">
      <c r="A79" s="572">
        <f t="shared" si="2"/>
        <v>65</v>
      </c>
      <c r="B79" s="1264" t="s">
        <v>2428</v>
      </c>
      <c r="C79" s="1255">
        <v>0.2</v>
      </c>
      <c r="D79" s="1254">
        <v>0</v>
      </c>
      <c r="E79" s="1254">
        <v>0</v>
      </c>
      <c r="F79" s="1254">
        <v>0</v>
      </c>
      <c r="G79" s="1254">
        <v>0</v>
      </c>
      <c r="H79" s="272">
        <f t="shared" si="1"/>
        <v>0</v>
      </c>
      <c r="I79" s="217"/>
      <c r="J79" s="217"/>
      <c r="K79" s="44"/>
      <c r="L79" s="44"/>
      <c r="M79" s="48"/>
      <c r="N79" s="48"/>
      <c r="O79" s="48"/>
      <c r="P79" s="48"/>
      <c r="Q79" s="48"/>
      <c r="R79" s="48"/>
      <c r="S79" s="48"/>
      <c r="T79" s="48"/>
      <c r="U79" s="48"/>
      <c r="V79" s="48"/>
      <c r="W79" s="48"/>
      <c r="X79" s="48"/>
      <c r="Y79" s="48"/>
      <c r="Z79" s="44"/>
      <c r="AA79" s="44"/>
      <c r="AB79" s="44"/>
    </row>
    <row r="80" spans="1:28" ht="15.6">
      <c r="A80" s="572">
        <f t="shared" si="2"/>
        <v>66</v>
      </c>
      <c r="B80" s="1264" t="s">
        <v>2429</v>
      </c>
      <c r="C80" s="1255">
        <v>0.2</v>
      </c>
      <c r="D80" s="1254">
        <v>0</v>
      </c>
      <c r="E80" s="1254">
        <v>0</v>
      </c>
      <c r="F80" s="1254">
        <v>0</v>
      </c>
      <c r="G80" s="1254">
        <v>0</v>
      </c>
      <c r="H80" s="272">
        <f t="shared" si="1"/>
        <v>0</v>
      </c>
      <c r="I80" s="217"/>
      <c r="J80" s="217"/>
      <c r="K80" s="44"/>
      <c r="L80" s="44"/>
      <c r="M80" s="48"/>
      <c r="N80" s="48"/>
      <c r="O80" s="48"/>
      <c r="P80" s="48"/>
      <c r="Q80" s="48"/>
      <c r="R80" s="48"/>
      <c r="S80" s="48"/>
      <c r="T80" s="48"/>
      <c r="U80" s="48"/>
      <c r="V80" s="48"/>
      <c r="W80" s="48"/>
      <c r="X80" s="48"/>
      <c r="Y80" s="48"/>
      <c r="Z80" s="44"/>
      <c r="AA80" s="44"/>
      <c r="AB80" s="44"/>
    </row>
    <row r="81" spans="1:28" ht="15.6">
      <c r="A81" s="572">
        <f t="shared" si="2"/>
        <v>67</v>
      </c>
      <c r="B81" s="1264" t="s">
        <v>2430</v>
      </c>
      <c r="C81" s="1255">
        <v>6.6666666666666666E-2</v>
      </c>
      <c r="D81" s="1254">
        <v>0</v>
      </c>
      <c r="E81" s="1254">
        <v>0</v>
      </c>
      <c r="F81" s="1254">
        <v>0</v>
      </c>
      <c r="G81" s="1254">
        <v>0</v>
      </c>
      <c r="H81" s="272">
        <f>SUM(D81:G81)</f>
        <v>0</v>
      </c>
      <c r="I81" s="217"/>
      <c r="J81" s="217"/>
      <c r="K81" s="44"/>
      <c r="L81" s="44"/>
      <c r="M81" s="48"/>
      <c r="N81" s="48"/>
      <c r="O81" s="48"/>
      <c r="P81" s="48"/>
      <c r="Q81" s="48"/>
      <c r="R81" s="48"/>
      <c r="S81" s="48"/>
      <c r="T81" s="48"/>
      <c r="U81" s="48"/>
      <c r="V81" s="48"/>
      <c r="W81" s="48"/>
      <c r="X81" s="48"/>
      <c r="Y81" s="48"/>
      <c r="Z81" s="44"/>
      <c r="AA81" s="44"/>
      <c r="AB81" s="44"/>
    </row>
    <row r="82" spans="1:28" ht="15.6">
      <c r="A82" s="572">
        <f>A81+1</f>
        <v>68</v>
      </c>
      <c r="B82" s="1264" t="s">
        <v>2431</v>
      </c>
      <c r="C82" s="1255">
        <v>0.2</v>
      </c>
      <c r="D82" s="1254">
        <v>-1292729.44</v>
      </c>
      <c r="E82" s="1254">
        <v>0</v>
      </c>
      <c r="F82" s="1254">
        <v>0</v>
      </c>
      <c r="G82" s="1254">
        <v>0</v>
      </c>
      <c r="H82" s="272">
        <f>SUM(D82:G82)</f>
        <v>-1292729.44</v>
      </c>
      <c r="I82" s="217"/>
      <c r="J82" s="217"/>
      <c r="K82" s="44"/>
      <c r="L82" s="44"/>
      <c r="M82" s="48"/>
      <c r="N82" s="48"/>
      <c r="O82" s="48"/>
      <c r="P82" s="48"/>
      <c r="Q82" s="48"/>
      <c r="R82" s="48"/>
      <c r="S82" s="48"/>
      <c r="T82" s="48"/>
      <c r="U82" s="48"/>
      <c r="V82" s="48"/>
      <c r="W82" s="48"/>
      <c r="X82" s="48"/>
      <c r="Y82" s="48"/>
      <c r="Z82" s="44"/>
      <c r="AA82" s="44"/>
      <c r="AB82" s="44"/>
    </row>
    <row r="83" spans="1:28" ht="15.6">
      <c r="A83" s="572">
        <f>A82+1</f>
        <v>69</v>
      </c>
      <c r="B83" s="1264" t="s">
        <v>1738</v>
      </c>
      <c r="C83" s="1255">
        <v>0.2</v>
      </c>
      <c r="D83" s="1254">
        <v>0</v>
      </c>
      <c r="E83" s="1254">
        <v>0</v>
      </c>
      <c r="F83" s="1254">
        <v>0</v>
      </c>
      <c r="G83" s="1254">
        <v>0</v>
      </c>
      <c r="H83" s="272">
        <f>SUM(D83:G83)</f>
        <v>0</v>
      </c>
      <c r="I83" s="217"/>
      <c r="J83" s="217"/>
      <c r="K83" s="44"/>
      <c r="L83" s="44"/>
      <c r="M83" s="48"/>
      <c r="N83" s="48"/>
      <c r="O83" s="48"/>
      <c r="P83" s="48"/>
      <c r="Q83" s="48"/>
      <c r="R83" s="48"/>
      <c r="S83" s="48"/>
      <c r="T83" s="48"/>
      <c r="U83" s="48"/>
      <c r="V83" s="48"/>
      <c r="W83" s="48"/>
      <c r="X83" s="48"/>
      <c r="Y83" s="48"/>
      <c r="Z83" s="44"/>
      <c r="AA83" s="44"/>
      <c r="AB83" s="44"/>
    </row>
    <row r="84" spans="1:28" ht="15.6">
      <c r="A84" s="572">
        <f>A83+1</f>
        <v>70</v>
      </c>
      <c r="B84" s="1264" t="s">
        <v>2415</v>
      </c>
      <c r="C84" s="1255">
        <v>6.6666666666666666E-2</v>
      </c>
      <c r="D84" s="1254">
        <v>327666.77</v>
      </c>
      <c r="E84" s="1254">
        <v>56107.27</v>
      </c>
      <c r="F84" s="1254">
        <v>0</v>
      </c>
      <c r="G84" s="1254">
        <v>0</v>
      </c>
      <c r="H84" s="272">
        <f>SUM(D84:G84)</f>
        <v>383774.04000000004</v>
      </c>
      <c r="I84" s="217"/>
      <c r="J84" s="217"/>
      <c r="K84" s="44"/>
      <c r="L84" s="44"/>
      <c r="M84" s="48"/>
      <c r="N84" s="48"/>
      <c r="O84" s="48"/>
      <c r="P84" s="48"/>
      <c r="Q84" s="48"/>
      <c r="R84" s="48"/>
      <c r="S84" s="48"/>
      <c r="T84" s="48"/>
      <c r="U84" s="48"/>
      <c r="V84" s="48"/>
      <c r="W84" s="48"/>
      <c r="X84" s="48"/>
      <c r="Y84" s="48"/>
      <c r="Z84" s="44"/>
      <c r="AA84" s="44"/>
      <c r="AB84" s="44"/>
    </row>
    <row r="85" spans="1:28" ht="15.6">
      <c r="A85" s="572">
        <f>A84+1</f>
        <v>71</v>
      </c>
      <c r="B85" s="1264" t="s">
        <v>2432</v>
      </c>
      <c r="C85" s="1255">
        <v>0.2</v>
      </c>
      <c r="D85" s="1254">
        <v>-1222318.25</v>
      </c>
      <c r="E85" s="1254">
        <v>0</v>
      </c>
      <c r="F85" s="1254">
        <v>0</v>
      </c>
      <c r="G85" s="1254">
        <v>0</v>
      </c>
      <c r="H85" s="272">
        <f>SUM(D85:G85)</f>
        <v>-1222318.25</v>
      </c>
      <c r="I85" s="217"/>
      <c r="J85" s="217"/>
      <c r="K85" s="44"/>
      <c r="L85" s="44"/>
      <c r="M85" s="48"/>
      <c r="N85" s="48"/>
      <c r="O85" s="48"/>
      <c r="P85" s="48"/>
      <c r="Q85" s="48"/>
      <c r="R85" s="48"/>
      <c r="S85" s="48"/>
      <c r="T85" s="48"/>
      <c r="U85" s="48"/>
      <c r="V85" s="48"/>
      <c r="W85" s="48"/>
      <c r="X85" s="48"/>
      <c r="Y85" s="48"/>
      <c r="Z85" s="44"/>
      <c r="AA85" s="44"/>
      <c r="AB85" s="44"/>
    </row>
    <row r="86" spans="1:28" ht="15.6">
      <c r="A86" s="572">
        <f t="shared" ref="A86:A154" si="3">A85+1</f>
        <v>72</v>
      </c>
      <c r="B86" s="1264" t="s">
        <v>2594</v>
      </c>
      <c r="C86" s="1255">
        <v>0.2</v>
      </c>
      <c r="D86" s="1254">
        <v>0</v>
      </c>
      <c r="E86" s="1254">
        <v>0</v>
      </c>
      <c r="F86" s="1254">
        <v>0</v>
      </c>
      <c r="G86" s="1254">
        <v>0</v>
      </c>
      <c r="H86" s="272">
        <f t="shared" ref="H86:H154" si="4">SUM(D86:G86)</f>
        <v>0</v>
      </c>
      <c r="I86" s="217"/>
      <c r="J86" s="217"/>
      <c r="K86" s="44"/>
      <c r="L86" s="44"/>
      <c r="M86" s="48"/>
      <c r="N86" s="48"/>
      <c r="O86" s="48"/>
      <c r="P86" s="48"/>
      <c r="Q86" s="48"/>
      <c r="R86" s="48"/>
      <c r="S86" s="48"/>
      <c r="T86" s="48"/>
      <c r="U86" s="48"/>
      <c r="V86" s="48"/>
      <c r="W86" s="48"/>
      <c r="X86" s="48"/>
      <c r="Y86" s="48"/>
      <c r="Z86" s="44"/>
      <c r="AA86" s="44"/>
      <c r="AB86" s="44"/>
    </row>
    <row r="87" spans="1:28" ht="15.6">
      <c r="A87" s="572">
        <f t="shared" si="3"/>
        <v>73</v>
      </c>
      <c r="B87" s="1264" t="s">
        <v>1835</v>
      </c>
      <c r="C87" s="1255">
        <v>0.2</v>
      </c>
      <c r="D87" s="1254">
        <v>0</v>
      </c>
      <c r="E87" s="1254">
        <v>0</v>
      </c>
      <c r="F87" s="1254">
        <v>0</v>
      </c>
      <c r="G87" s="1254">
        <v>0</v>
      </c>
      <c r="H87" s="272">
        <f t="shared" si="4"/>
        <v>0</v>
      </c>
      <c r="I87" s="217"/>
      <c r="J87" s="217"/>
      <c r="K87" s="44"/>
      <c r="L87" s="44"/>
      <c r="M87" s="48"/>
      <c r="N87" s="48"/>
      <c r="O87" s="48"/>
      <c r="P87" s="48"/>
      <c r="Q87" s="48"/>
      <c r="R87" s="48"/>
      <c r="S87" s="48"/>
      <c r="T87" s="48"/>
      <c r="U87" s="48"/>
      <c r="V87" s="48"/>
      <c r="W87" s="48"/>
      <c r="X87" s="48"/>
      <c r="Y87" s="48"/>
      <c r="Z87" s="44"/>
      <c r="AA87" s="44"/>
      <c r="AB87" s="44"/>
    </row>
    <row r="88" spans="1:28" ht="15.6">
      <c r="A88" s="572">
        <f t="shared" si="3"/>
        <v>74</v>
      </c>
      <c r="B88" s="1264" t="s">
        <v>1835</v>
      </c>
      <c r="C88" s="1255">
        <v>0.2</v>
      </c>
      <c r="D88" s="1254">
        <v>0</v>
      </c>
      <c r="E88" s="1254">
        <v>0</v>
      </c>
      <c r="F88" s="1254">
        <v>0</v>
      </c>
      <c r="G88" s="1254">
        <v>0</v>
      </c>
      <c r="H88" s="272">
        <f t="shared" si="4"/>
        <v>0</v>
      </c>
      <c r="I88" s="217"/>
      <c r="J88" s="217"/>
      <c r="K88" s="44"/>
      <c r="L88" s="44"/>
      <c r="M88" s="48"/>
      <c r="N88" s="48"/>
      <c r="O88" s="48"/>
      <c r="P88" s="48"/>
      <c r="Q88" s="48"/>
      <c r="R88" s="48"/>
      <c r="S88" s="48"/>
      <c r="T88" s="48"/>
      <c r="U88" s="48"/>
      <c r="V88" s="48"/>
      <c r="W88" s="48"/>
      <c r="X88" s="48"/>
      <c r="Y88" s="48"/>
      <c r="Z88" s="44"/>
      <c r="AA88" s="44"/>
      <c r="AB88" s="44"/>
    </row>
    <row r="89" spans="1:28" ht="15.6">
      <c r="A89" s="572">
        <f t="shared" si="3"/>
        <v>75</v>
      </c>
      <c r="B89" s="1264" t="s">
        <v>2595</v>
      </c>
      <c r="C89" s="1255">
        <v>0.2</v>
      </c>
      <c r="D89" s="1254">
        <v>0</v>
      </c>
      <c r="E89" s="1254">
        <v>0</v>
      </c>
      <c r="F89" s="1254">
        <v>0</v>
      </c>
      <c r="G89" s="1254">
        <v>0</v>
      </c>
      <c r="H89" s="272">
        <f t="shared" si="4"/>
        <v>0</v>
      </c>
      <c r="I89" s="217"/>
      <c r="J89" s="217"/>
      <c r="K89" s="44"/>
      <c r="L89" s="44"/>
      <c r="M89" s="48"/>
      <c r="N89" s="48"/>
      <c r="O89" s="48"/>
      <c r="P89" s="48"/>
      <c r="Q89" s="48"/>
      <c r="R89" s="48"/>
      <c r="S89" s="48"/>
      <c r="T89" s="48"/>
      <c r="U89" s="48"/>
      <c r="V89" s="48"/>
      <c r="W89" s="48"/>
      <c r="X89" s="48"/>
      <c r="Y89" s="48"/>
      <c r="Z89" s="44"/>
      <c r="AA89" s="44"/>
      <c r="AB89" s="44"/>
    </row>
    <row r="90" spans="1:28" ht="15.6">
      <c r="A90" s="572">
        <f t="shared" si="3"/>
        <v>76</v>
      </c>
      <c r="B90" s="1264" t="s">
        <v>2451</v>
      </c>
      <c r="C90" s="1255">
        <v>0.2</v>
      </c>
      <c r="D90" s="1254">
        <v>0</v>
      </c>
      <c r="E90" s="1254">
        <v>0</v>
      </c>
      <c r="F90" s="1254">
        <v>0</v>
      </c>
      <c r="G90" s="1254">
        <v>0</v>
      </c>
      <c r="H90" s="272">
        <f t="shared" si="4"/>
        <v>0</v>
      </c>
      <c r="I90" s="217"/>
      <c r="J90" s="217"/>
      <c r="K90" s="44"/>
      <c r="L90" s="44"/>
      <c r="M90" s="48"/>
      <c r="N90" s="48"/>
      <c r="O90" s="48"/>
      <c r="P90" s="48"/>
      <c r="Q90" s="48"/>
      <c r="R90" s="48"/>
      <c r="S90" s="48"/>
      <c r="T90" s="48"/>
      <c r="U90" s="48"/>
      <c r="V90" s="48"/>
      <c r="W90" s="48"/>
      <c r="X90" s="48"/>
      <c r="Y90" s="48"/>
      <c r="Z90" s="44"/>
      <c r="AA90" s="44"/>
      <c r="AB90" s="44"/>
    </row>
    <row r="91" spans="1:28" ht="15.6">
      <c r="A91" s="572">
        <f t="shared" si="3"/>
        <v>77</v>
      </c>
      <c r="B91" s="1264" t="s">
        <v>2596</v>
      </c>
      <c r="C91" s="1255">
        <v>0.2</v>
      </c>
      <c r="D91" s="1254">
        <v>0</v>
      </c>
      <c r="E91" s="1254">
        <v>0</v>
      </c>
      <c r="F91" s="1254">
        <v>0</v>
      </c>
      <c r="G91" s="1254">
        <v>0</v>
      </c>
      <c r="H91" s="272">
        <f t="shared" si="4"/>
        <v>0</v>
      </c>
      <c r="I91" s="217"/>
      <c r="J91" s="217"/>
      <c r="K91" s="44"/>
      <c r="L91" s="44"/>
      <c r="M91" s="48"/>
      <c r="N91" s="48"/>
      <c r="O91" s="48"/>
      <c r="P91" s="48"/>
      <c r="Q91" s="48"/>
      <c r="R91" s="48"/>
      <c r="S91" s="48"/>
      <c r="T91" s="48"/>
      <c r="U91" s="48"/>
      <c r="V91" s="48"/>
      <c r="W91" s="48"/>
      <c r="X91" s="48"/>
      <c r="Y91" s="48"/>
      <c r="Z91" s="44"/>
      <c r="AA91" s="44"/>
      <c r="AB91" s="44"/>
    </row>
    <row r="92" spans="1:28" ht="15.6">
      <c r="A92" s="572">
        <f t="shared" si="3"/>
        <v>78</v>
      </c>
      <c r="B92" s="1296" t="s">
        <v>3424</v>
      </c>
      <c r="C92" s="1255">
        <v>0.2</v>
      </c>
      <c r="D92" s="1254">
        <v>0</v>
      </c>
      <c r="E92" s="1254">
        <v>0</v>
      </c>
      <c r="F92" s="1254">
        <v>0</v>
      </c>
      <c r="G92" s="1254">
        <v>0</v>
      </c>
      <c r="H92" s="272">
        <f t="shared" si="4"/>
        <v>0</v>
      </c>
      <c r="I92" s="217"/>
      <c r="J92" s="217"/>
      <c r="K92" s="44"/>
      <c r="L92" s="44"/>
      <c r="M92" s="48"/>
      <c r="N92" s="48"/>
      <c r="O92" s="48"/>
      <c r="P92" s="48"/>
      <c r="Q92" s="48"/>
      <c r="R92" s="48"/>
      <c r="S92" s="48"/>
      <c r="T92" s="48"/>
      <c r="U92" s="48"/>
      <c r="V92" s="48"/>
      <c r="W92" s="48"/>
      <c r="X92" s="48"/>
      <c r="Y92" s="48"/>
      <c r="Z92" s="44"/>
      <c r="AA92" s="44"/>
      <c r="AB92" s="44"/>
    </row>
    <row r="93" spans="1:28" ht="16.2" customHeight="1">
      <c r="A93" s="572">
        <f t="shared" si="3"/>
        <v>79</v>
      </c>
      <c r="B93" s="1296" t="s">
        <v>3424</v>
      </c>
      <c r="C93" s="1255">
        <v>0.2</v>
      </c>
      <c r="D93" s="1254">
        <v>0</v>
      </c>
      <c r="E93" s="1254">
        <v>0</v>
      </c>
      <c r="F93" s="1254">
        <v>0</v>
      </c>
      <c r="G93" s="1254">
        <v>0</v>
      </c>
      <c r="H93" s="272">
        <f t="shared" si="4"/>
        <v>0</v>
      </c>
      <c r="I93" s="217"/>
      <c r="J93" s="217"/>
      <c r="K93" s="44"/>
      <c r="L93" s="44"/>
      <c r="M93" s="48"/>
      <c r="N93" s="48"/>
      <c r="O93" s="48"/>
      <c r="P93" s="48"/>
      <c r="Q93" s="48"/>
      <c r="R93" s="48"/>
      <c r="S93" s="48"/>
      <c r="T93" s="48"/>
      <c r="U93" s="48"/>
      <c r="V93" s="48"/>
      <c r="W93" s="48"/>
      <c r="X93" s="48"/>
      <c r="Y93" s="48"/>
      <c r="Z93" s="44"/>
      <c r="AA93" s="44"/>
      <c r="AB93" s="44"/>
    </row>
    <row r="94" spans="1:28" ht="16.95" customHeight="1">
      <c r="A94" s="572">
        <f t="shared" si="3"/>
        <v>80</v>
      </c>
      <c r="B94" s="1296" t="s">
        <v>3424</v>
      </c>
      <c r="C94" s="1255">
        <v>0.2</v>
      </c>
      <c r="D94" s="1254">
        <v>0</v>
      </c>
      <c r="E94" s="1254">
        <v>0</v>
      </c>
      <c r="F94" s="1254">
        <v>0</v>
      </c>
      <c r="G94" s="1254">
        <v>0</v>
      </c>
      <c r="H94" s="272">
        <f t="shared" si="4"/>
        <v>0</v>
      </c>
      <c r="I94" s="217"/>
      <c r="J94" s="217"/>
      <c r="K94" s="44"/>
      <c r="L94" s="44"/>
      <c r="M94" s="48"/>
      <c r="N94" s="48"/>
      <c r="O94" s="48"/>
      <c r="P94" s="48"/>
      <c r="Q94" s="48"/>
      <c r="R94" s="48"/>
      <c r="S94" s="48"/>
      <c r="T94" s="48"/>
      <c r="U94" s="48"/>
      <c r="V94" s="48"/>
      <c r="W94" s="48"/>
      <c r="X94" s="48"/>
      <c r="Y94" s="48"/>
      <c r="Z94" s="44"/>
      <c r="AA94" s="44"/>
      <c r="AB94" s="44"/>
    </row>
    <row r="95" spans="1:28" ht="31.2">
      <c r="A95" s="572">
        <f t="shared" si="3"/>
        <v>81</v>
      </c>
      <c r="B95" s="1264" t="s">
        <v>1864</v>
      </c>
      <c r="C95" s="1255">
        <v>0.2</v>
      </c>
      <c r="D95" s="1254">
        <v>0</v>
      </c>
      <c r="E95" s="1254">
        <v>0</v>
      </c>
      <c r="F95" s="1254">
        <v>0</v>
      </c>
      <c r="G95" s="1254">
        <v>0</v>
      </c>
      <c r="H95" s="272">
        <f t="shared" si="4"/>
        <v>0</v>
      </c>
      <c r="I95" s="217"/>
      <c r="J95" s="217"/>
      <c r="K95" s="44"/>
      <c r="L95" s="44"/>
      <c r="M95" s="48"/>
      <c r="N95" s="48"/>
      <c r="O95" s="48"/>
      <c r="P95" s="48"/>
      <c r="Q95" s="48"/>
      <c r="R95" s="48"/>
      <c r="S95" s="48"/>
      <c r="T95" s="48"/>
      <c r="U95" s="48"/>
      <c r="V95" s="48"/>
      <c r="W95" s="48"/>
      <c r="X95" s="48"/>
      <c r="Y95" s="48"/>
      <c r="Z95" s="44"/>
      <c r="AA95" s="44"/>
      <c r="AB95" s="44"/>
    </row>
    <row r="96" spans="1:28" ht="15.6">
      <c r="A96" s="572">
        <f t="shared" si="3"/>
        <v>82</v>
      </c>
      <c r="B96" s="1296" t="s">
        <v>3425</v>
      </c>
      <c r="C96" s="1255">
        <v>0.2</v>
      </c>
      <c r="D96" s="1254">
        <v>0</v>
      </c>
      <c r="E96" s="1254">
        <v>0</v>
      </c>
      <c r="F96" s="1254">
        <v>0</v>
      </c>
      <c r="G96" s="1254">
        <v>0</v>
      </c>
      <c r="H96" s="272">
        <f t="shared" si="4"/>
        <v>0</v>
      </c>
      <c r="I96" s="217"/>
      <c r="J96" s="217"/>
      <c r="K96" s="44"/>
      <c r="L96" s="44"/>
      <c r="M96" s="48"/>
      <c r="N96" s="48"/>
      <c r="O96" s="48"/>
      <c r="P96" s="48"/>
      <c r="Q96" s="48"/>
      <c r="R96" s="48"/>
      <c r="S96" s="48"/>
      <c r="T96" s="48"/>
      <c r="U96" s="48"/>
      <c r="V96" s="48"/>
      <c r="W96" s="48"/>
      <c r="X96" s="48"/>
      <c r="Y96" s="48"/>
      <c r="Z96" s="44"/>
      <c r="AA96" s="44"/>
      <c r="AB96" s="44"/>
    </row>
    <row r="97" spans="1:28" ht="15.6">
      <c r="A97" s="572">
        <f t="shared" si="3"/>
        <v>83</v>
      </c>
      <c r="B97" s="1264" t="s">
        <v>2597</v>
      </c>
      <c r="C97" s="1255">
        <v>0.2</v>
      </c>
      <c r="D97" s="1254">
        <v>0</v>
      </c>
      <c r="E97" s="1254">
        <v>0</v>
      </c>
      <c r="F97" s="1254">
        <v>0</v>
      </c>
      <c r="G97" s="1254">
        <v>0</v>
      </c>
      <c r="H97" s="272">
        <f t="shared" si="4"/>
        <v>0</v>
      </c>
      <c r="I97" s="217"/>
      <c r="J97" s="217"/>
      <c r="K97" s="44"/>
      <c r="L97" s="44"/>
      <c r="M97" s="48"/>
      <c r="N97" s="48"/>
      <c r="O97" s="48"/>
      <c r="P97" s="48"/>
      <c r="Q97" s="48"/>
      <c r="R97" s="48"/>
      <c r="S97" s="48"/>
      <c r="T97" s="48"/>
      <c r="U97" s="48"/>
      <c r="V97" s="48"/>
      <c r="W97" s="48"/>
      <c r="X97" s="48"/>
      <c r="Y97" s="48"/>
      <c r="Z97" s="44"/>
      <c r="AA97" s="44"/>
      <c r="AB97" s="44"/>
    </row>
    <row r="98" spans="1:28" ht="15.6">
      <c r="A98" s="572">
        <f t="shared" si="3"/>
        <v>84</v>
      </c>
      <c r="B98" s="1264" t="s">
        <v>2598</v>
      </c>
      <c r="C98" s="1255">
        <v>0.2</v>
      </c>
      <c r="D98" s="1254">
        <v>0</v>
      </c>
      <c r="E98" s="1254">
        <v>0</v>
      </c>
      <c r="F98" s="1254">
        <v>0</v>
      </c>
      <c r="G98" s="1254">
        <v>0</v>
      </c>
      <c r="H98" s="272">
        <f t="shared" si="4"/>
        <v>0</v>
      </c>
      <c r="I98" s="217"/>
      <c r="J98" s="217"/>
      <c r="K98" s="44"/>
      <c r="L98" s="44"/>
      <c r="M98" s="48"/>
      <c r="N98" s="48"/>
      <c r="O98" s="48"/>
      <c r="P98" s="48"/>
      <c r="Q98" s="48"/>
      <c r="R98" s="48"/>
      <c r="S98" s="48"/>
      <c r="T98" s="48"/>
      <c r="U98" s="48"/>
      <c r="V98" s="48"/>
      <c r="W98" s="48"/>
      <c r="X98" s="48"/>
      <c r="Y98" s="48"/>
      <c r="Z98" s="44"/>
      <c r="AA98" s="44"/>
      <c r="AB98" s="44"/>
    </row>
    <row r="99" spans="1:28" ht="15.6">
      <c r="A99" s="572">
        <f t="shared" si="3"/>
        <v>85</v>
      </c>
      <c r="B99" s="1264" t="s">
        <v>2647</v>
      </c>
      <c r="C99" s="1255">
        <v>0.2</v>
      </c>
      <c r="D99" s="1254">
        <v>0</v>
      </c>
      <c r="E99" s="1254">
        <v>0</v>
      </c>
      <c r="F99" s="1254">
        <v>0</v>
      </c>
      <c r="G99" s="1254">
        <v>0</v>
      </c>
      <c r="H99" s="272">
        <f t="shared" si="4"/>
        <v>0</v>
      </c>
      <c r="I99" s="217"/>
      <c r="J99" s="217"/>
      <c r="K99" s="44"/>
      <c r="L99" s="44"/>
      <c r="M99" s="48"/>
      <c r="N99" s="48"/>
      <c r="O99" s="48"/>
      <c r="P99" s="48"/>
      <c r="Q99" s="48"/>
      <c r="R99" s="48"/>
      <c r="S99" s="48"/>
      <c r="T99" s="48"/>
      <c r="U99" s="48"/>
      <c r="V99" s="48"/>
      <c r="W99" s="48"/>
      <c r="X99" s="48"/>
      <c r="Y99" s="48"/>
      <c r="Z99" s="44"/>
      <c r="AA99" s="44"/>
      <c r="AB99" s="44"/>
    </row>
    <row r="100" spans="1:28" ht="15.6">
      <c r="A100" s="572">
        <f t="shared" si="3"/>
        <v>86</v>
      </c>
      <c r="B100" s="1264" t="s">
        <v>2648</v>
      </c>
      <c r="C100" s="1255">
        <v>0.2</v>
      </c>
      <c r="D100" s="1254">
        <v>0</v>
      </c>
      <c r="E100" s="1254">
        <v>0</v>
      </c>
      <c r="F100" s="1254">
        <v>0</v>
      </c>
      <c r="G100" s="1254">
        <v>0</v>
      </c>
      <c r="H100" s="272">
        <f t="shared" si="4"/>
        <v>0</v>
      </c>
      <c r="I100" s="217"/>
      <c r="J100" s="217"/>
      <c r="K100" s="44"/>
      <c r="L100" s="44"/>
      <c r="M100" s="48"/>
      <c r="N100" s="48"/>
      <c r="O100" s="48"/>
      <c r="P100" s="48"/>
      <c r="Q100" s="48"/>
      <c r="R100" s="48"/>
      <c r="S100" s="48"/>
      <c r="T100" s="48"/>
      <c r="U100" s="48"/>
      <c r="V100" s="48"/>
      <c r="W100" s="48"/>
      <c r="X100" s="48"/>
      <c r="Y100" s="48"/>
      <c r="Z100" s="44"/>
      <c r="AA100" s="44"/>
      <c r="AB100" s="44"/>
    </row>
    <row r="101" spans="1:28" ht="15.6">
      <c r="A101" s="572">
        <f t="shared" si="3"/>
        <v>87</v>
      </c>
      <c r="B101" s="1264" t="s">
        <v>2649</v>
      </c>
      <c r="C101" s="1255">
        <v>0.2</v>
      </c>
      <c r="D101" s="1254">
        <v>0</v>
      </c>
      <c r="E101" s="1254">
        <v>0</v>
      </c>
      <c r="F101" s="1254">
        <v>0</v>
      </c>
      <c r="G101" s="1254">
        <v>0</v>
      </c>
      <c r="H101" s="272">
        <f t="shared" si="4"/>
        <v>0</v>
      </c>
      <c r="I101" s="217"/>
      <c r="J101" s="217"/>
      <c r="K101" s="44"/>
      <c r="L101" s="44"/>
      <c r="M101" s="48"/>
      <c r="N101" s="48"/>
      <c r="O101" s="48"/>
      <c r="P101" s="48"/>
      <c r="Q101" s="48"/>
      <c r="R101" s="48"/>
      <c r="S101" s="48"/>
      <c r="T101" s="48"/>
      <c r="U101" s="48"/>
      <c r="V101" s="48"/>
      <c r="W101" s="48"/>
      <c r="X101" s="48"/>
      <c r="Y101" s="48"/>
      <c r="Z101" s="44"/>
      <c r="AA101" s="44"/>
      <c r="AB101" s="44"/>
    </row>
    <row r="102" spans="1:28" ht="15.6">
      <c r="A102" s="572">
        <f t="shared" si="3"/>
        <v>88</v>
      </c>
      <c r="B102" s="1264" t="s">
        <v>2650</v>
      </c>
      <c r="C102" s="1255">
        <v>0.2</v>
      </c>
      <c r="D102" s="1254">
        <v>0</v>
      </c>
      <c r="E102" s="1254">
        <v>0</v>
      </c>
      <c r="F102" s="1254">
        <v>0</v>
      </c>
      <c r="G102" s="1254">
        <v>0</v>
      </c>
      <c r="H102" s="272">
        <f t="shared" si="4"/>
        <v>0</v>
      </c>
      <c r="I102" s="217"/>
      <c r="J102" s="217"/>
      <c r="K102" s="44"/>
      <c r="L102" s="44"/>
      <c r="M102" s="48"/>
      <c r="N102" s="48"/>
      <c r="O102" s="48"/>
      <c r="P102" s="48"/>
      <c r="Q102" s="48"/>
      <c r="R102" s="48"/>
      <c r="S102" s="48"/>
      <c r="T102" s="48"/>
      <c r="U102" s="48"/>
      <c r="V102" s="48"/>
      <c r="W102" s="48"/>
      <c r="X102" s="48"/>
      <c r="Y102" s="48"/>
      <c r="Z102" s="44"/>
      <c r="AA102" s="44"/>
      <c r="AB102" s="44"/>
    </row>
    <row r="103" spans="1:28" ht="15.6">
      <c r="A103" s="572">
        <f t="shared" si="3"/>
        <v>89</v>
      </c>
      <c r="B103" s="1264" t="s">
        <v>2651</v>
      </c>
      <c r="C103" s="1255">
        <v>0.2</v>
      </c>
      <c r="D103" s="1254">
        <v>0</v>
      </c>
      <c r="E103" s="1254">
        <v>0</v>
      </c>
      <c r="F103" s="1254">
        <v>0</v>
      </c>
      <c r="G103" s="1254">
        <v>0</v>
      </c>
      <c r="H103" s="272">
        <f t="shared" si="4"/>
        <v>0</v>
      </c>
      <c r="I103" s="217"/>
      <c r="J103" s="217"/>
      <c r="K103" s="44"/>
      <c r="L103" s="44"/>
      <c r="M103" s="48"/>
      <c r="N103" s="48"/>
      <c r="O103" s="48"/>
      <c r="P103" s="48"/>
      <c r="Q103" s="48"/>
      <c r="R103" s="48"/>
      <c r="S103" s="48"/>
      <c r="T103" s="48"/>
      <c r="U103" s="48"/>
      <c r="V103" s="48"/>
      <c r="W103" s="48"/>
      <c r="X103" s="48"/>
      <c r="Y103" s="48"/>
      <c r="Z103" s="44"/>
      <c r="AA103" s="44"/>
      <c r="AB103" s="44"/>
    </row>
    <row r="104" spans="1:28" ht="15.6">
      <c r="A104" s="572">
        <f t="shared" si="3"/>
        <v>90</v>
      </c>
      <c r="B104" s="1264" t="s">
        <v>2691</v>
      </c>
      <c r="C104" s="1255">
        <v>0.2</v>
      </c>
      <c r="D104" s="1254">
        <v>3.637978807091713E-12</v>
      </c>
      <c r="E104" s="1254">
        <v>0</v>
      </c>
      <c r="F104" s="1254">
        <v>0</v>
      </c>
      <c r="G104" s="1254">
        <v>0</v>
      </c>
      <c r="H104" s="272">
        <f t="shared" si="4"/>
        <v>3.637978807091713E-12</v>
      </c>
      <c r="I104" s="217"/>
      <c r="J104" s="217"/>
      <c r="K104" s="44"/>
      <c r="L104" s="44"/>
      <c r="M104" s="48"/>
      <c r="N104" s="48"/>
      <c r="O104" s="48"/>
      <c r="P104" s="48"/>
      <c r="Q104" s="48"/>
      <c r="R104" s="48"/>
      <c r="S104" s="48"/>
      <c r="T104" s="48"/>
      <c r="U104" s="48"/>
      <c r="V104" s="48"/>
      <c r="W104" s="48"/>
      <c r="X104" s="48"/>
      <c r="Y104" s="48"/>
      <c r="Z104" s="44"/>
      <c r="AA104" s="44"/>
      <c r="AB104" s="44"/>
    </row>
    <row r="105" spans="1:28" ht="15.6">
      <c r="A105" s="572">
        <f t="shared" si="3"/>
        <v>91</v>
      </c>
      <c r="B105" s="1264" t="s">
        <v>2692</v>
      </c>
      <c r="C105" s="1255">
        <v>0.2</v>
      </c>
      <c r="D105" s="1254">
        <v>0</v>
      </c>
      <c r="E105" s="1254">
        <v>0</v>
      </c>
      <c r="F105" s="1254">
        <v>0</v>
      </c>
      <c r="G105" s="1254">
        <v>0</v>
      </c>
      <c r="H105" s="272">
        <f t="shared" si="4"/>
        <v>0</v>
      </c>
      <c r="I105" s="217"/>
      <c r="J105" s="217"/>
      <c r="K105" s="44"/>
      <c r="L105" s="44"/>
      <c r="M105" s="48"/>
      <c r="N105" s="48"/>
      <c r="O105" s="48"/>
      <c r="P105" s="48"/>
      <c r="Q105" s="48"/>
      <c r="R105" s="48"/>
      <c r="S105" s="48"/>
      <c r="T105" s="48"/>
      <c r="U105" s="48"/>
      <c r="V105" s="48"/>
      <c r="W105" s="48"/>
      <c r="X105" s="48"/>
      <c r="Y105" s="48"/>
      <c r="Z105" s="44"/>
      <c r="AA105" s="44"/>
      <c r="AB105" s="44"/>
    </row>
    <row r="106" spans="1:28" ht="15.6">
      <c r="A106" s="572">
        <f t="shared" si="3"/>
        <v>92</v>
      </c>
      <c r="B106" s="1264" t="s">
        <v>2693</v>
      </c>
      <c r="C106" s="1255">
        <v>0.2</v>
      </c>
      <c r="D106" s="1254">
        <v>-262932.3</v>
      </c>
      <c r="E106" s="1254">
        <v>-16.04</v>
      </c>
      <c r="F106" s="1254">
        <v>0</v>
      </c>
      <c r="G106" s="1254">
        <v>0</v>
      </c>
      <c r="H106" s="272">
        <f t="shared" si="4"/>
        <v>-262948.33999999997</v>
      </c>
      <c r="I106" s="217"/>
      <c r="J106" s="217"/>
      <c r="K106" s="44"/>
      <c r="L106" s="44"/>
      <c r="M106" s="48"/>
      <c r="N106" s="48"/>
      <c r="O106" s="48"/>
      <c r="P106" s="48"/>
      <c r="Q106" s="48"/>
      <c r="R106" s="48"/>
      <c r="S106" s="48"/>
      <c r="T106" s="48"/>
      <c r="U106" s="48"/>
      <c r="V106" s="48"/>
      <c r="W106" s="48"/>
      <c r="X106" s="48"/>
      <c r="Y106" s="48"/>
      <c r="Z106" s="44"/>
      <c r="AA106" s="44"/>
      <c r="AB106" s="44"/>
    </row>
    <row r="107" spans="1:28" ht="15.6">
      <c r="A107" s="572">
        <f t="shared" si="3"/>
        <v>93</v>
      </c>
      <c r="B107" s="1264" t="s">
        <v>2694</v>
      </c>
      <c r="C107" s="1255">
        <v>0.2</v>
      </c>
      <c r="D107" s="1254">
        <v>0</v>
      </c>
      <c r="E107" s="1254">
        <v>0</v>
      </c>
      <c r="F107" s="1254">
        <v>0</v>
      </c>
      <c r="G107" s="1254">
        <v>0</v>
      </c>
      <c r="H107" s="272">
        <f t="shared" si="4"/>
        <v>0</v>
      </c>
      <c r="I107" s="217"/>
      <c r="J107" s="217"/>
      <c r="K107" s="44"/>
      <c r="L107" s="44"/>
      <c r="M107" s="48"/>
      <c r="N107" s="48"/>
      <c r="O107" s="48"/>
      <c r="P107" s="48"/>
      <c r="Q107" s="48"/>
      <c r="R107" s="48"/>
      <c r="S107" s="48"/>
      <c r="T107" s="48"/>
      <c r="U107" s="48"/>
      <c r="V107" s="48"/>
      <c r="W107" s="48"/>
      <c r="X107" s="48"/>
      <c r="Y107" s="48"/>
      <c r="Z107" s="44"/>
      <c r="AA107" s="44"/>
      <c r="AB107" s="44"/>
    </row>
    <row r="108" spans="1:28" ht="15.6">
      <c r="A108" s="572">
        <f t="shared" si="3"/>
        <v>94</v>
      </c>
      <c r="B108" s="1264" t="s">
        <v>2695</v>
      </c>
      <c r="C108" s="1255">
        <v>0.2</v>
      </c>
      <c r="D108" s="1254">
        <v>-347719.7</v>
      </c>
      <c r="E108" s="1254">
        <v>0</v>
      </c>
      <c r="F108" s="1254">
        <v>0</v>
      </c>
      <c r="G108" s="1254">
        <v>0</v>
      </c>
      <c r="H108" s="272">
        <f t="shared" si="4"/>
        <v>-347719.7</v>
      </c>
      <c r="I108" s="217"/>
      <c r="J108" s="217"/>
      <c r="K108" s="44"/>
      <c r="L108" s="44"/>
      <c r="M108" s="48"/>
      <c r="N108" s="48"/>
      <c r="O108" s="48"/>
      <c r="P108" s="48"/>
      <c r="Q108" s="48"/>
      <c r="R108" s="48"/>
      <c r="S108" s="48"/>
      <c r="T108" s="48"/>
      <c r="U108" s="48"/>
      <c r="V108" s="48"/>
      <c r="W108" s="48"/>
      <c r="X108" s="48"/>
      <c r="Y108" s="48"/>
      <c r="Z108" s="44"/>
      <c r="AA108" s="44"/>
      <c r="AB108" s="44"/>
    </row>
    <row r="109" spans="1:28" ht="15.6">
      <c r="A109" s="572">
        <f t="shared" si="3"/>
        <v>95</v>
      </c>
      <c r="B109" s="1264" t="s">
        <v>2696</v>
      </c>
      <c r="C109" s="1255">
        <v>0.2</v>
      </c>
      <c r="D109" s="1254">
        <v>-403210.48000000004</v>
      </c>
      <c r="E109" s="1254">
        <v>0</v>
      </c>
      <c r="F109" s="1254">
        <v>0</v>
      </c>
      <c r="G109" s="1254">
        <v>0</v>
      </c>
      <c r="H109" s="272">
        <f t="shared" si="4"/>
        <v>-403210.48000000004</v>
      </c>
      <c r="I109" s="217"/>
      <c r="J109" s="217"/>
      <c r="K109" s="44"/>
      <c r="L109" s="44"/>
      <c r="M109" s="48"/>
      <c r="N109" s="48"/>
      <c r="O109" s="48"/>
      <c r="P109" s="48"/>
      <c r="Q109" s="48"/>
      <c r="R109" s="48"/>
      <c r="S109" s="48"/>
      <c r="T109" s="48"/>
      <c r="U109" s="48"/>
      <c r="V109" s="48"/>
      <c r="W109" s="48"/>
      <c r="X109" s="48"/>
      <c r="Y109" s="48"/>
      <c r="Z109" s="44"/>
      <c r="AA109" s="44"/>
      <c r="AB109" s="44"/>
    </row>
    <row r="110" spans="1:28" ht="15.6">
      <c r="A110" s="572">
        <f t="shared" si="3"/>
        <v>96</v>
      </c>
      <c r="B110" s="1264" t="s">
        <v>2697</v>
      </c>
      <c r="C110" s="1255">
        <v>0.2</v>
      </c>
      <c r="D110" s="1254">
        <v>-68040.160000000003</v>
      </c>
      <c r="E110" s="1254">
        <v>0</v>
      </c>
      <c r="F110" s="1254">
        <v>0</v>
      </c>
      <c r="G110" s="1254">
        <v>0</v>
      </c>
      <c r="H110" s="272">
        <f t="shared" si="4"/>
        <v>-68040.160000000003</v>
      </c>
      <c r="I110" s="217"/>
      <c r="J110" s="217"/>
      <c r="K110" s="44"/>
      <c r="L110" s="44"/>
      <c r="M110" s="48"/>
      <c r="N110" s="48"/>
      <c r="O110" s="48"/>
      <c r="P110" s="48"/>
      <c r="Q110" s="48"/>
      <c r="R110" s="48"/>
      <c r="S110" s="48"/>
      <c r="T110" s="48"/>
      <c r="U110" s="48"/>
      <c r="V110" s="48"/>
      <c r="W110" s="48"/>
      <c r="X110" s="48"/>
      <c r="Y110" s="48"/>
      <c r="Z110" s="44"/>
      <c r="AA110" s="44"/>
      <c r="AB110" s="44"/>
    </row>
    <row r="111" spans="1:28" ht="15.6">
      <c r="A111" s="572">
        <f t="shared" si="3"/>
        <v>97</v>
      </c>
      <c r="B111" s="1264" t="s">
        <v>2698</v>
      </c>
      <c r="C111" s="1255">
        <v>0.2</v>
      </c>
      <c r="D111" s="1254">
        <v>-109909.04999999999</v>
      </c>
      <c r="E111" s="1254">
        <v>0</v>
      </c>
      <c r="F111" s="1254">
        <v>0</v>
      </c>
      <c r="G111" s="1254">
        <v>0</v>
      </c>
      <c r="H111" s="272">
        <f t="shared" si="4"/>
        <v>-109909.04999999999</v>
      </c>
      <c r="I111" s="217"/>
      <c r="J111" s="217"/>
      <c r="K111" s="44"/>
      <c r="L111" s="44"/>
      <c r="M111" s="48"/>
      <c r="N111" s="48"/>
      <c r="O111" s="48"/>
      <c r="P111" s="48"/>
      <c r="Q111" s="48"/>
      <c r="R111" s="48"/>
      <c r="S111" s="48"/>
      <c r="T111" s="48"/>
      <c r="U111" s="48"/>
      <c r="V111" s="48"/>
      <c r="W111" s="48"/>
      <c r="X111" s="48"/>
      <c r="Y111" s="48"/>
      <c r="Z111" s="44"/>
      <c r="AA111" s="44"/>
      <c r="AB111" s="44"/>
    </row>
    <row r="112" spans="1:28" ht="15.6">
      <c r="A112" s="572">
        <f t="shared" si="3"/>
        <v>98</v>
      </c>
      <c r="B112" s="1264" t="s">
        <v>2849</v>
      </c>
      <c r="C112" s="1255">
        <v>0.2</v>
      </c>
      <c r="D112" s="1254">
        <v>-174877.19</v>
      </c>
      <c r="E112" s="1254">
        <v>-19430.8</v>
      </c>
      <c r="F112" s="1254">
        <v>0</v>
      </c>
      <c r="G112" s="1254">
        <v>0</v>
      </c>
      <c r="H112" s="272">
        <f t="shared" si="4"/>
        <v>-194307.99</v>
      </c>
      <c r="I112" s="217"/>
      <c r="J112" s="217"/>
      <c r="K112" s="44"/>
      <c r="L112" s="44"/>
      <c r="M112" s="48"/>
      <c r="N112" s="48"/>
      <c r="O112" s="48"/>
      <c r="P112" s="48"/>
      <c r="Q112" s="48"/>
      <c r="R112" s="48"/>
      <c r="S112" s="48"/>
      <c r="T112" s="48"/>
      <c r="U112" s="48"/>
      <c r="V112" s="48"/>
      <c r="W112" s="48"/>
      <c r="X112" s="48"/>
      <c r="Y112" s="48"/>
      <c r="Z112" s="44"/>
      <c r="AA112" s="44"/>
      <c r="AB112" s="44"/>
    </row>
    <row r="113" spans="1:28" ht="15.6">
      <c r="A113" s="572">
        <f t="shared" si="3"/>
        <v>99</v>
      </c>
      <c r="B113" s="1264" t="s">
        <v>2850</v>
      </c>
      <c r="C113" s="1255">
        <v>0.2</v>
      </c>
      <c r="D113" s="1254">
        <v>-154408.65</v>
      </c>
      <c r="E113" s="1254">
        <v>-27248.58</v>
      </c>
      <c r="F113" s="1254">
        <v>0</v>
      </c>
      <c r="G113" s="1254">
        <v>0</v>
      </c>
      <c r="H113" s="272">
        <f t="shared" si="4"/>
        <v>-181657.22999999998</v>
      </c>
      <c r="I113" s="217"/>
      <c r="J113" s="217"/>
      <c r="K113" s="44"/>
      <c r="L113" s="44"/>
      <c r="M113" s="48"/>
      <c r="N113" s="48"/>
      <c r="O113" s="48"/>
      <c r="P113" s="48"/>
      <c r="Q113" s="48"/>
      <c r="R113" s="48"/>
      <c r="S113" s="48"/>
      <c r="T113" s="48"/>
      <c r="U113" s="48"/>
      <c r="V113" s="48"/>
      <c r="W113" s="48"/>
      <c r="X113" s="48"/>
      <c r="Y113" s="48"/>
      <c r="Z113" s="44"/>
      <c r="AA113" s="44"/>
      <c r="AB113" s="44"/>
    </row>
    <row r="114" spans="1:28" ht="15.6">
      <c r="A114" s="572">
        <f t="shared" si="3"/>
        <v>100</v>
      </c>
      <c r="B114" s="1264" t="s">
        <v>2851</v>
      </c>
      <c r="C114" s="1255">
        <v>0.2</v>
      </c>
      <c r="D114" s="1254">
        <v>-131544.88</v>
      </c>
      <c r="E114" s="1254">
        <v>-2229.5700000000002</v>
      </c>
      <c r="F114" s="1254">
        <v>133774.45000000001</v>
      </c>
      <c r="G114" s="1254">
        <v>0</v>
      </c>
      <c r="H114" s="272">
        <f t="shared" si="4"/>
        <v>0</v>
      </c>
      <c r="I114" s="217"/>
      <c r="J114" s="217"/>
      <c r="K114" s="44"/>
      <c r="L114" s="44"/>
      <c r="M114" s="48"/>
      <c r="N114" s="48"/>
      <c r="O114" s="48"/>
      <c r="P114" s="48"/>
      <c r="Q114" s="48"/>
      <c r="R114" s="48"/>
      <c r="S114" s="48"/>
      <c r="T114" s="48"/>
      <c r="U114" s="48"/>
      <c r="V114" s="48"/>
      <c r="W114" s="48"/>
      <c r="X114" s="48"/>
      <c r="Y114" s="48"/>
      <c r="Z114" s="44"/>
      <c r="AA114" s="44"/>
      <c r="AB114" s="44"/>
    </row>
    <row r="115" spans="1:28" ht="15.6">
      <c r="A115" s="572">
        <f t="shared" si="3"/>
        <v>101</v>
      </c>
      <c r="B115" s="1264" t="s">
        <v>2852</v>
      </c>
      <c r="C115" s="1255">
        <v>0.2</v>
      </c>
      <c r="D115" s="1254">
        <v>-162863.46</v>
      </c>
      <c r="E115" s="1254">
        <v>-18095.95</v>
      </c>
      <c r="F115" s="1254">
        <v>180959.41</v>
      </c>
      <c r="G115" s="1254">
        <v>0</v>
      </c>
      <c r="H115" s="272">
        <f t="shared" si="4"/>
        <v>0</v>
      </c>
      <c r="I115" s="217"/>
      <c r="J115" s="217"/>
      <c r="K115" s="44"/>
      <c r="L115" s="44"/>
      <c r="M115" s="48"/>
      <c r="N115" s="48"/>
      <c r="O115" s="48"/>
      <c r="P115" s="48"/>
      <c r="Q115" s="48"/>
      <c r="R115" s="48"/>
      <c r="S115" s="48"/>
      <c r="T115" s="48"/>
      <c r="U115" s="48"/>
      <c r="V115" s="48"/>
      <c r="W115" s="48"/>
      <c r="X115" s="48"/>
      <c r="Y115" s="48"/>
      <c r="Z115" s="44"/>
      <c r="AA115" s="44"/>
      <c r="AB115" s="44"/>
    </row>
    <row r="116" spans="1:28" ht="15.6">
      <c r="A116" s="572">
        <f t="shared" si="3"/>
        <v>102</v>
      </c>
      <c r="B116" s="1264" t="s">
        <v>2853</v>
      </c>
      <c r="C116" s="1255">
        <v>0.2</v>
      </c>
      <c r="D116" s="1254">
        <v>-798865.82000000007</v>
      </c>
      <c r="E116" s="1254">
        <v>-72624.17</v>
      </c>
      <c r="F116" s="1254">
        <v>871489.99</v>
      </c>
      <c r="G116" s="1254">
        <v>0</v>
      </c>
      <c r="H116" s="272">
        <f t="shared" si="4"/>
        <v>-1.1641532182693481E-10</v>
      </c>
      <c r="I116" s="217"/>
      <c r="J116" s="217"/>
      <c r="K116" s="44"/>
      <c r="L116" s="44"/>
      <c r="M116" s="48"/>
      <c r="N116" s="48"/>
      <c r="O116" s="48"/>
      <c r="P116" s="48"/>
      <c r="Q116" s="48"/>
      <c r="R116" s="48"/>
      <c r="S116" s="48"/>
      <c r="T116" s="48"/>
      <c r="U116" s="48"/>
      <c r="V116" s="48"/>
      <c r="W116" s="48"/>
      <c r="X116" s="48"/>
      <c r="Y116" s="48"/>
      <c r="Z116" s="44"/>
      <c r="AA116" s="44"/>
      <c r="AB116" s="44"/>
    </row>
    <row r="117" spans="1:28" ht="15.6">
      <c r="A117" s="572">
        <f t="shared" si="3"/>
        <v>103</v>
      </c>
      <c r="B117" s="1264" t="s">
        <v>2854</v>
      </c>
      <c r="C117" s="1255">
        <v>0.2</v>
      </c>
      <c r="D117" s="1254">
        <v>-157093.76999999999</v>
      </c>
      <c r="E117" s="1254">
        <v>0</v>
      </c>
      <c r="F117" s="1254">
        <v>0</v>
      </c>
      <c r="G117" s="1254">
        <v>0</v>
      </c>
      <c r="H117" s="272">
        <f t="shared" si="4"/>
        <v>-157093.76999999999</v>
      </c>
      <c r="I117" s="217"/>
      <c r="J117" s="217"/>
      <c r="K117" s="44"/>
      <c r="L117" s="44"/>
      <c r="M117" s="48"/>
      <c r="N117" s="48"/>
      <c r="O117" s="48"/>
      <c r="P117" s="48"/>
      <c r="Q117" s="48"/>
      <c r="R117" s="48"/>
      <c r="S117" s="48"/>
      <c r="T117" s="48"/>
      <c r="U117" s="48"/>
      <c r="V117" s="48"/>
      <c r="W117" s="48"/>
      <c r="X117" s="48"/>
      <c r="Y117" s="48"/>
      <c r="Z117" s="44"/>
      <c r="AA117" s="44"/>
      <c r="AB117" s="44"/>
    </row>
    <row r="118" spans="1:28" ht="15.6">
      <c r="A118" s="572">
        <f t="shared" si="3"/>
        <v>104</v>
      </c>
      <c r="B118" s="1264" t="s">
        <v>1797</v>
      </c>
      <c r="C118" s="1255">
        <v>0.2</v>
      </c>
      <c r="D118" s="1254">
        <v>-342825.62</v>
      </c>
      <c r="E118" s="1254">
        <v>0</v>
      </c>
      <c r="F118" s="1254">
        <v>0</v>
      </c>
      <c r="G118" s="1254">
        <v>0</v>
      </c>
      <c r="H118" s="272">
        <f t="shared" si="4"/>
        <v>-342825.62</v>
      </c>
      <c r="I118" s="217"/>
      <c r="J118" s="217"/>
      <c r="K118" s="44"/>
      <c r="L118" s="44"/>
      <c r="M118" s="48"/>
      <c r="N118" s="48"/>
      <c r="O118" s="48"/>
      <c r="P118" s="48"/>
      <c r="Q118" s="48"/>
      <c r="R118" s="48"/>
      <c r="S118" s="48"/>
      <c r="T118" s="48"/>
      <c r="U118" s="48"/>
      <c r="V118" s="48"/>
      <c r="W118" s="48"/>
      <c r="X118" s="48"/>
      <c r="Y118" s="48"/>
      <c r="Z118" s="44"/>
      <c r="AA118" s="44"/>
      <c r="AB118" s="44"/>
    </row>
    <row r="119" spans="1:28" ht="15.6">
      <c r="A119" s="572">
        <f t="shared" si="3"/>
        <v>105</v>
      </c>
      <c r="B119" s="1264" t="s">
        <v>2855</v>
      </c>
      <c r="C119" s="1255">
        <v>0.2</v>
      </c>
      <c r="D119" s="1254">
        <v>-673575.73</v>
      </c>
      <c r="E119" s="1254">
        <v>-48112.55</v>
      </c>
      <c r="F119" s="1254">
        <v>0</v>
      </c>
      <c r="G119" s="1254">
        <v>0</v>
      </c>
      <c r="H119" s="272">
        <f t="shared" si="4"/>
        <v>-721688.28</v>
      </c>
      <c r="I119" s="217"/>
      <c r="J119" s="217"/>
      <c r="K119" s="44"/>
      <c r="L119" s="44"/>
      <c r="M119" s="48"/>
      <c r="N119" s="48"/>
      <c r="O119" s="48"/>
      <c r="P119" s="48"/>
      <c r="Q119" s="48"/>
      <c r="R119" s="48"/>
      <c r="S119" s="48"/>
      <c r="T119" s="48"/>
      <c r="U119" s="48"/>
      <c r="V119" s="48"/>
      <c r="W119" s="48"/>
      <c r="X119" s="48"/>
      <c r="Y119" s="48"/>
      <c r="Z119" s="44"/>
      <c r="AA119" s="44"/>
      <c r="AB119" s="44"/>
    </row>
    <row r="120" spans="1:28" ht="15.6">
      <c r="A120" s="572">
        <f t="shared" si="3"/>
        <v>106</v>
      </c>
      <c r="B120" s="1264" t="s">
        <v>2856</v>
      </c>
      <c r="C120" s="1255">
        <v>0.2</v>
      </c>
      <c r="D120" s="1254">
        <v>-1364003.7</v>
      </c>
      <c r="E120" s="1254">
        <v>0</v>
      </c>
      <c r="F120" s="1254">
        <v>0</v>
      </c>
      <c r="G120" s="1254">
        <v>0</v>
      </c>
      <c r="H120" s="272">
        <f t="shared" si="4"/>
        <v>-1364003.7</v>
      </c>
      <c r="I120" s="217"/>
      <c r="J120" s="217"/>
      <c r="K120" s="44"/>
      <c r="L120" s="44"/>
      <c r="M120" s="48"/>
      <c r="N120" s="48"/>
      <c r="O120" s="48"/>
      <c r="P120" s="48"/>
      <c r="Q120" s="48"/>
      <c r="R120" s="48"/>
      <c r="S120" s="48"/>
      <c r="T120" s="48"/>
      <c r="U120" s="48"/>
      <c r="V120" s="48"/>
      <c r="W120" s="48"/>
      <c r="X120" s="48"/>
      <c r="Y120" s="48"/>
      <c r="Z120" s="44"/>
      <c r="AA120" s="44"/>
      <c r="AB120" s="44"/>
    </row>
    <row r="121" spans="1:28" ht="15.6">
      <c r="A121" s="572">
        <f t="shared" si="3"/>
        <v>107</v>
      </c>
      <c r="B121" s="1264" t="s">
        <v>2857</v>
      </c>
      <c r="C121" s="1255">
        <v>0.2</v>
      </c>
      <c r="D121" s="1254">
        <v>-146252.34</v>
      </c>
      <c r="E121" s="1254">
        <v>0</v>
      </c>
      <c r="F121" s="1254">
        <v>0</v>
      </c>
      <c r="G121" s="1254">
        <v>0</v>
      </c>
      <c r="H121" s="272">
        <f t="shared" si="4"/>
        <v>-146252.34</v>
      </c>
      <c r="I121" s="217"/>
      <c r="J121" s="217"/>
      <c r="K121" s="44"/>
      <c r="L121" s="44"/>
      <c r="M121" s="48"/>
      <c r="N121" s="48"/>
      <c r="O121" s="48"/>
      <c r="P121" s="48"/>
      <c r="Q121" s="48"/>
      <c r="R121" s="48"/>
      <c r="S121" s="48"/>
      <c r="T121" s="48"/>
      <c r="U121" s="48"/>
      <c r="V121" s="48"/>
      <c r="W121" s="48"/>
      <c r="X121" s="48"/>
      <c r="Y121" s="48"/>
      <c r="Z121" s="44"/>
      <c r="AA121" s="44"/>
      <c r="AB121" s="44"/>
    </row>
    <row r="122" spans="1:28" ht="15.6">
      <c r="A122" s="572">
        <f t="shared" si="3"/>
        <v>108</v>
      </c>
      <c r="B122" s="1264" t="s">
        <v>2929</v>
      </c>
      <c r="C122" s="1255">
        <v>0.2</v>
      </c>
      <c r="D122" s="1254">
        <v>-46533.97</v>
      </c>
      <c r="E122" s="1254">
        <v>-12827.460000000001</v>
      </c>
      <c r="F122" s="1254">
        <v>0</v>
      </c>
      <c r="G122" s="1254">
        <v>0</v>
      </c>
      <c r="H122" s="272">
        <f t="shared" si="4"/>
        <v>-59361.43</v>
      </c>
      <c r="I122" s="217"/>
      <c r="J122" s="217"/>
      <c r="K122" s="44"/>
      <c r="L122" s="44"/>
      <c r="M122" s="48"/>
      <c r="N122" s="48"/>
      <c r="O122" s="48"/>
      <c r="P122" s="48"/>
      <c r="Q122" s="48"/>
      <c r="R122" s="48"/>
      <c r="S122" s="48"/>
      <c r="T122" s="48"/>
      <c r="U122" s="48"/>
      <c r="V122" s="48"/>
      <c r="W122" s="48"/>
      <c r="X122" s="48"/>
      <c r="Y122" s="48"/>
      <c r="Z122" s="44"/>
      <c r="AA122" s="44"/>
      <c r="AB122" s="44"/>
    </row>
    <row r="123" spans="1:28" ht="15.6">
      <c r="A123" s="572">
        <f t="shared" si="3"/>
        <v>109</v>
      </c>
      <c r="B123" s="1296" t="s">
        <v>3121</v>
      </c>
      <c r="C123" s="1255">
        <v>0.2</v>
      </c>
      <c r="D123" s="1254">
        <v>483.63</v>
      </c>
      <c r="E123" s="1254">
        <v>134.97</v>
      </c>
      <c r="F123" s="1254">
        <v>0</v>
      </c>
      <c r="G123" s="1254">
        <v>0</v>
      </c>
      <c r="H123" s="272">
        <f t="shared" si="4"/>
        <v>618.6</v>
      </c>
      <c r="I123" s="217"/>
      <c r="J123" s="217"/>
      <c r="K123" s="44"/>
      <c r="L123" s="44"/>
      <c r="M123" s="48"/>
      <c r="N123" s="48"/>
      <c r="O123" s="48"/>
      <c r="P123" s="48"/>
      <c r="Q123" s="48"/>
      <c r="R123" s="48"/>
      <c r="S123" s="48"/>
      <c r="T123" s="48"/>
      <c r="U123" s="48"/>
      <c r="V123" s="48"/>
      <c r="W123" s="48"/>
      <c r="X123" s="48"/>
      <c r="Y123" s="48"/>
      <c r="Z123" s="44"/>
      <c r="AA123" s="44"/>
      <c r="AB123" s="44"/>
    </row>
    <row r="124" spans="1:28" ht="15.6">
      <c r="A124" s="572">
        <f t="shared" si="3"/>
        <v>110</v>
      </c>
      <c r="B124" s="1296" t="s">
        <v>3122</v>
      </c>
      <c r="C124" s="1255">
        <v>0.2</v>
      </c>
      <c r="D124" s="1254">
        <v>-13.700000000000001</v>
      </c>
      <c r="E124" s="1254">
        <v>-3.83</v>
      </c>
      <c r="F124" s="1254">
        <v>0</v>
      </c>
      <c r="G124" s="1254">
        <v>0</v>
      </c>
      <c r="H124" s="272">
        <f t="shared" si="4"/>
        <v>-17.53</v>
      </c>
      <c r="I124" s="217"/>
      <c r="J124" s="217"/>
      <c r="K124" s="44"/>
      <c r="L124" s="44"/>
      <c r="M124" s="48"/>
      <c r="N124" s="48"/>
      <c r="O124" s="48"/>
      <c r="P124" s="48"/>
      <c r="Q124" s="48"/>
      <c r="R124" s="48"/>
      <c r="S124" s="48"/>
      <c r="T124" s="48"/>
      <c r="U124" s="48"/>
      <c r="V124" s="48"/>
      <c r="W124" s="48"/>
      <c r="X124" s="48"/>
      <c r="Y124" s="48"/>
      <c r="Z124" s="44"/>
      <c r="AA124" s="44"/>
      <c r="AB124" s="44"/>
    </row>
    <row r="125" spans="1:28" ht="15.6">
      <c r="A125" s="572">
        <f t="shared" si="3"/>
        <v>111</v>
      </c>
      <c r="B125" s="1264" t="s">
        <v>2930</v>
      </c>
      <c r="C125" s="1255">
        <v>0.2</v>
      </c>
      <c r="D125" s="1254">
        <v>-1.29</v>
      </c>
      <c r="E125" s="1254">
        <v>-0.36</v>
      </c>
      <c r="F125" s="1254">
        <v>0</v>
      </c>
      <c r="G125" s="1254">
        <v>0</v>
      </c>
      <c r="H125" s="272">
        <f t="shared" si="4"/>
        <v>-1.65</v>
      </c>
      <c r="I125" s="217"/>
      <c r="J125" s="217"/>
      <c r="K125" s="44"/>
      <c r="L125" s="44"/>
      <c r="M125" s="48"/>
      <c r="N125" s="48"/>
      <c r="O125" s="48"/>
      <c r="P125" s="48"/>
      <c r="Q125" s="48"/>
      <c r="R125" s="48"/>
      <c r="S125" s="48"/>
      <c r="T125" s="48"/>
      <c r="U125" s="48"/>
      <c r="V125" s="48"/>
      <c r="W125" s="48"/>
      <c r="X125" s="48"/>
      <c r="Y125" s="48"/>
      <c r="Z125" s="44"/>
      <c r="AA125" s="44"/>
      <c r="AB125" s="44"/>
    </row>
    <row r="126" spans="1:28" ht="15.6">
      <c r="A126" s="572">
        <f t="shared" si="3"/>
        <v>112</v>
      </c>
      <c r="B126" s="1264" t="s">
        <v>2931</v>
      </c>
      <c r="C126" s="1255">
        <v>0.2</v>
      </c>
      <c r="D126" s="1254">
        <v>-302.35000000000002</v>
      </c>
      <c r="E126" s="1254">
        <v>-84.37</v>
      </c>
      <c r="F126" s="1254">
        <v>0</v>
      </c>
      <c r="G126" s="1254">
        <v>0</v>
      </c>
      <c r="H126" s="272">
        <f t="shared" si="4"/>
        <v>-386.72</v>
      </c>
      <c r="I126" s="217"/>
      <c r="J126" s="217"/>
      <c r="K126" s="44"/>
      <c r="L126" s="44"/>
      <c r="M126" s="48"/>
      <c r="N126" s="48"/>
      <c r="O126" s="48"/>
      <c r="P126" s="48"/>
      <c r="Q126" s="48"/>
      <c r="R126" s="48"/>
      <c r="S126" s="48"/>
      <c r="T126" s="48"/>
      <c r="U126" s="48"/>
      <c r="V126" s="48"/>
      <c r="W126" s="48"/>
      <c r="X126" s="48"/>
      <c r="Y126" s="48"/>
      <c r="Z126" s="44"/>
      <c r="AA126" s="44"/>
      <c r="AB126" s="44"/>
    </row>
    <row r="127" spans="1:28" ht="15.6">
      <c r="A127" s="572">
        <f t="shared" si="3"/>
        <v>113</v>
      </c>
      <c r="B127" s="1264" t="s">
        <v>2932</v>
      </c>
      <c r="C127" s="1255">
        <v>0.2</v>
      </c>
      <c r="D127" s="1254">
        <v>-1.1100000000000001</v>
      </c>
      <c r="E127" s="1254">
        <v>-0.31</v>
      </c>
      <c r="F127" s="1254">
        <v>0</v>
      </c>
      <c r="G127" s="1254">
        <v>0</v>
      </c>
      <c r="H127" s="272">
        <f t="shared" si="4"/>
        <v>-1.4200000000000002</v>
      </c>
      <c r="I127" s="217"/>
      <c r="J127" s="217"/>
      <c r="K127" s="44"/>
      <c r="L127" s="44"/>
      <c r="M127" s="48"/>
      <c r="N127" s="48"/>
      <c r="O127" s="48"/>
      <c r="P127" s="48"/>
      <c r="Q127" s="48"/>
      <c r="R127" s="48"/>
      <c r="S127" s="48"/>
      <c r="T127" s="48"/>
      <c r="U127" s="48"/>
      <c r="V127" s="48"/>
      <c r="W127" s="48"/>
      <c r="X127" s="48"/>
      <c r="Y127" s="48"/>
      <c r="Z127" s="44"/>
      <c r="AA127" s="44"/>
      <c r="AB127" s="44"/>
    </row>
    <row r="128" spans="1:28" ht="15.6">
      <c r="A128" s="572">
        <f t="shared" si="3"/>
        <v>114</v>
      </c>
      <c r="B128" s="1264" t="s">
        <v>2933</v>
      </c>
      <c r="C128" s="1255">
        <v>0.2</v>
      </c>
      <c r="D128" s="1254">
        <v>-54.42</v>
      </c>
      <c r="E128" s="1254">
        <v>-15.19</v>
      </c>
      <c r="F128" s="1254">
        <v>0</v>
      </c>
      <c r="G128" s="1254">
        <v>0</v>
      </c>
      <c r="H128" s="272">
        <f t="shared" si="4"/>
        <v>-69.61</v>
      </c>
      <c r="I128" s="217"/>
      <c r="J128" s="217"/>
      <c r="K128" s="44"/>
      <c r="L128" s="44"/>
      <c r="M128" s="48"/>
      <c r="N128" s="48"/>
      <c r="O128" s="48"/>
      <c r="P128" s="48"/>
      <c r="Q128" s="48"/>
      <c r="R128" s="48"/>
      <c r="S128" s="48"/>
      <c r="T128" s="48"/>
      <c r="U128" s="48"/>
      <c r="V128" s="48"/>
      <c r="W128" s="48"/>
      <c r="X128" s="48"/>
      <c r="Y128" s="48"/>
      <c r="Z128" s="44"/>
      <c r="AA128" s="44"/>
      <c r="AB128" s="44"/>
    </row>
    <row r="129" spans="1:28" ht="15.6">
      <c r="A129" s="572">
        <f t="shared" si="3"/>
        <v>115</v>
      </c>
      <c r="B129" s="1264" t="s">
        <v>2934</v>
      </c>
      <c r="C129" s="1255">
        <v>0.2</v>
      </c>
      <c r="D129" s="1254">
        <v>-654.1400000000001</v>
      </c>
      <c r="E129" s="1254">
        <v>-182.55</v>
      </c>
      <c r="F129" s="1254">
        <v>0</v>
      </c>
      <c r="G129" s="1254">
        <v>0</v>
      </c>
      <c r="H129" s="272">
        <f t="shared" si="4"/>
        <v>-836.69</v>
      </c>
      <c r="I129" s="217"/>
      <c r="J129" s="217"/>
      <c r="K129" s="44"/>
      <c r="L129" s="44"/>
      <c r="M129" s="48"/>
      <c r="N129" s="48"/>
      <c r="O129" s="48"/>
      <c r="P129" s="48"/>
      <c r="Q129" s="48"/>
      <c r="R129" s="48"/>
      <c r="S129" s="48"/>
      <c r="T129" s="48"/>
      <c r="U129" s="48"/>
      <c r="V129" s="48"/>
      <c r="W129" s="48"/>
      <c r="X129" s="48"/>
      <c r="Y129" s="48"/>
      <c r="Z129" s="44"/>
      <c r="AA129" s="44"/>
      <c r="AB129" s="44"/>
    </row>
    <row r="130" spans="1:28" ht="15.6">
      <c r="A130" s="572">
        <f t="shared" si="3"/>
        <v>116</v>
      </c>
      <c r="B130" s="1264" t="s">
        <v>2935</v>
      </c>
      <c r="C130" s="1255">
        <v>0.2</v>
      </c>
      <c r="D130" s="1254">
        <v>-77963.38</v>
      </c>
      <c r="E130" s="1254">
        <v>-20790.230000000003</v>
      </c>
      <c r="F130" s="1254">
        <v>0</v>
      </c>
      <c r="G130" s="1254">
        <v>0</v>
      </c>
      <c r="H130" s="272">
        <f t="shared" si="4"/>
        <v>-98753.610000000015</v>
      </c>
      <c r="I130" s="217"/>
      <c r="J130" s="217"/>
      <c r="K130" s="44"/>
      <c r="L130" s="44"/>
      <c r="M130" s="48"/>
      <c r="N130" s="48"/>
      <c r="O130" s="48"/>
      <c r="P130" s="48"/>
      <c r="Q130" s="48"/>
      <c r="R130" s="48"/>
      <c r="S130" s="48"/>
      <c r="T130" s="48"/>
      <c r="U130" s="48"/>
      <c r="V130" s="48"/>
      <c r="W130" s="48"/>
      <c r="X130" s="48"/>
      <c r="Y130" s="48"/>
      <c r="Z130" s="44"/>
      <c r="AA130" s="44"/>
      <c r="AB130" s="44"/>
    </row>
    <row r="131" spans="1:28" ht="15.6">
      <c r="A131" s="572">
        <f t="shared" si="3"/>
        <v>117</v>
      </c>
      <c r="B131" s="1264" t="s">
        <v>2936</v>
      </c>
      <c r="C131" s="1255">
        <v>0.2</v>
      </c>
      <c r="D131" s="1254">
        <v>-91344.960000000006</v>
      </c>
      <c r="E131" s="1254">
        <v>-20506.02</v>
      </c>
      <c r="F131" s="1254">
        <v>0</v>
      </c>
      <c r="G131" s="1254">
        <v>0</v>
      </c>
      <c r="H131" s="272">
        <f t="shared" si="4"/>
        <v>-111850.98000000001</v>
      </c>
      <c r="I131" s="217"/>
      <c r="J131" s="217"/>
      <c r="K131" s="44"/>
      <c r="L131" s="44"/>
      <c r="M131" s="48"/>
      <c r="N131" s="48"/>
      <c r="O131" s="48"/>
      <c r="P131" s="48"/>
      <c r="Q131" s="48"/>
      <c r="R131" s="48"/>
      <c r="S131" s="48"/>
      <c r="T131" s="48"/>
      <c r="U131" s="48"/>
      <c r="V131" s="48"/>
      <c r="W131" s="48"/>
      <c r="X131" s="48"/>
      <c r="Y131" s="48"/>
      <c r="Z131" s="44"/>
      <c r="AA131" s="44"/>
      <c r="AB131" s="44"/>
    </row>
    <row r="132" spans="1:28" ht="15.6">
      <c r="A132" s="572">
        <f t="shared" si="3"/>
        <v>118</v>
      </c>
      <c r="B132" s="1264" t="s">
        <v>2937</v>
      </c>
      <c r="C132" s="1255">
        <v>0.2</v>
      </c>
      <c r="D132" s="1254">
        <v>-32222.65</v>
      </c>
      <c r="E132" s="1254">
        <v>-8227.0499999999993</v>
      </c>
      <c r="F132" s="1254">
        <v>0</v>
      </c>
      <c r="G132" s="1254">
        <v>0</v>
      </c>
      <c r="H132" s="272">
        <f t="shared" si="4"/>
        <v>-40449.699999999997</v>
      </c>
      <c r="I132" s="217"/>
      <c r="J132" s="217"/>
      <c r="K132" s="44"/>
      <c r="L132" s="44"/>
      <c r="M132" s="48"/>
      <c r="N132" s="48"/>
      <c r="O132" s="48"/>
      <c r="P132" s="48"/>
      <c r="Q132" s="48"/>
      <c r="R132" s="48"/>
      <c r="S132" s="48"/>
      <c r="T132" s="48"/>
      <c r="U132" s="48"/>
      <c r="V132" s="48"/>
      <c r="W132" s="48"/>
      <c r="X132" s="48"/>
      <c r="Y132" s="48"/>
      <c r="Z132" s="44"/>
      <c r="AA132" s="44"/>
      <c r="AB132" s="44"/>
    </row>
    <row r="133" spans="1:28" ht="15.6">
      <c r="A133" s="572">
        <f t="shared" si="3"/>
        <v>119</v>
      </c>
      <c r="B133" s="1264" t="s">
        <v>2938</v>
      </c>
      <c r="C133" s="1255">
        <v>0.2</v>
      </c>
      <c r="D133" s="1254">
        <v>-32222.65</v>
      </c>
      <c r="E133" s="1254">
        <v>-8227.0499999999993</v>
      </c>
      <c r="F133" s="1254">
        <v>0</v>
      </c>
      <c r="G133" s="1254">
        <v>0</v>
      </c>
      <c r="H133" s="272">
        <f t="shared" si="4"/>
        <v>-40449.699999999997</v>
      </c>
      <c r="I133" s="217"/>
      <c r="J133" s="217"/>
      <c r="K133" s="44"/>
      <c r="L133" s="44"/>
      <c r="M133" s="48"/>
      <c r="N133" s="48"/>
      <c r="O133" s="48"/>
      <c r="P133" s="48"/>
      <c r="Q133" s="48"/>
      <c r="R133" s="48"/>
      <c r="S133" s="48"/>
      <c r="T133" s="48"/>
      <c r="U133" s="48"/>
      <c r="V133" s="48"/>
      <c r="W133" s="48"/>
      <c r="X133" s="48"/>
      <c r="Y133" s="48"/>
      <c r="Z133" s="44"/>
      <c r="AA133" s="44"/>
      <c r="AB133" s="44"/>
    </row>
    <row r="134" spans="1:28" ht="15.6">
      <c r="A134" s="572">
        <f t="shared" si="3"/>
        <v>120</v>
      </c>
      <c r="B134" s="1264" t="s">
        <v>2939</v>
      </c>
      <c r="C134" s="1255">
        <v>0.2</v>
      </c>
      <c r="D134" s="1254">
        <v>-32222.65</v>
      </c>
      <c r="E134" s="1254">
        <v>-8227.0499999999993</v>
      </c>
      <c r="F134" s="1254">
        <v>0</v>
      </c>
      <c r="G134" s="1254">
        <v>0</v>
      </c>
      <c r="H134" s="272">
        <f t="shared" si="4"/>
        <v>-40449.699999999997</v>
      </c>
      <c r="I134" s="217"/>
      <c r="J134" s="217"/>
      <c r="K134" s="44"/>
      <c r="L134" s="44"/>
      <c r="M134" s="48"/>
      <c r="N134" s="48"/>
      <c r="O134" s="48"/>
      <c r="P134" s="48"/>
      <c r="Q134" s="48"/>
      <c r="R134" s="48"/>
      <c r="S134" s="48"/>
      <c r="T134" s="48"/>
      <c r="U134" s="48"/>
      <c r="V134" s="48"/>
      <c r="W134" s="48"/>
      <c r="X134" s="48"/>
      <c r="Y134" s="48"/>
      <c r="Z134" s="44"/>
      <c r="AA134" s="44"/>
      <c r="AB134" s="44"/>
    </row>
    <row r="135" spans="1:28" ht="15.6">
      <c r="A135" s="572">
        <f t="shared" si="3"/>
        <v>121</v>
      </c>
      <c r="B135" s="1264" t="s">
        <v>2940</v>
      </c>
      <c r="C135" s="1255">
        <v>0.2</v>
      </c>
      <c r="D135" s="1254">
        <v>-33534.97</v>
      </c>
      <c r="E135" s="1254">
        <v>-10318.450000000001</v>
      </c>
      <c r="F135" s="1254">
        <v>0</v>
      </c>
      <c r="G135" s="1254">
        <v>0</v>
      </c>
      <c r="H135" s="272">
        <f t="shared" si="4"/>
        <v>-43853.42</v>
      </c>
      <c r="I135" s="217"/>
      <c r="J135" s="217"/>
      <c r="K135" s="44"/>
      <c r="L135" s="44"/>
      <c r="M135" s="48"/>
      <c r="N135" s="48"/>
      <c r="O135" s="48"/>
      <c r="P135" s="48"/>
      <c r="Q135" s="48"/>
      <c r="R135" s="48"/>
      <c r="S135" s="48"/>
      <c r="T135" s="48"/>
      <c r="U135" s="48"/>
      <c r="V135" s="48"/>
      <c r="W135" s="48"/>
      <c r="X135" s="48"/>
      <c r="Y135" s="48"/>
      <c r="Z135" s="44"/>
      <c r="AA135" s="44"/>
      <c r="AB135" s="44"/>
    </row>
    <row r="136" spans="1:28" ht="15.6">
      <c r="A136" s="572">
        <f t="shared" si="3"/>
        <v>122</v>
      </c>
      <c r="B136" s="1264" t="s">
        <v>3111</v>
      </c>
      <c r="C136" s="1255">
        <v>0.2</v>
      </c>
      <c r="D136" s="1254">
        <v>-379.09000000000003</v>
      </c>
      <c r="E136" s="1254">
        <v>146.76</v>
      </c>
      <c r="F136" s="1254">
        <v>0</v>
      </c>
      <c r="G136" s="1254">
        <v>0</v>
      </c>
      <c r="H136" s="272">
        <f t="shared" si="4"/>
        <v>-232.33000000000004</v>
      </c>
      <c r="I136" s="217"/>
      <c r="J136" s="217"/>
      <c r="K136" s="44"/>
      <c r="L136" s="44"/>
      <c r="M136" s="48"/>
      <c r="N136" s="48"/>
      <c r="O136" s="48"/>
      <c r="P136" s="48"/>
      <c r="Q136" s="48"/>
      <c r="R136" s="48"/>
      <c r="S136" s="48"/>
      <c r="T136" s="48"/>
      <c r="U136" s="48"/>
      <c r="V136" s="48"/>
      <c r="W136" s="48"/>
      <c r="X136" s="48"/>
      <c r="Y136" s="48"/>
      <c r="Z136" s="44"/>
      <c r="AA136" s="44"/>
      <c r="AB136" s="44"/>
    </row>
    <row r="137" spans="1:28" ht="15.6">
      <c r="A137" s="572">
        <f t="shared" si="3"/>
        <v>123</v>
      </c>
      <c r="B137" s="1264" t="s">
        <v>3123</v>
      </c>
      <c r="C137" s="1255">
        <v>0.2</v>
      </c>
      <c r="D137" s="1254">
        <v>-1174.82</v>
      </c>
      <c r="E137" s="1254">
        <v>-440.58</v>
      </c>
      <c r="F137" s="1254">
        <v>0</v>
      </c>
      <c r="G137" s="1254">
        <v>0</v>
      </c>
      <c r="H137" s="272">
        <f t="shared" si="4"/>
        <v>-1615.3999999999999</v>
      </c>
      <c r="I137" s="217"/>
      <c r="J137" s="217"/>
      <c r="K137" s="44"/>
      <c r="L137" s="44"/>
      <c r="M137" s="48"/>
      <c r="N137" s="48"/>
      <c r="O137" s="48"/>
      <c r="P137" s="48"/>
      <c r="Q137" s="48"/>
      <c r="R137" s="48"/>
      <c r="S137" s="48"/>
      <c r="T137" s="48"/>
      <c r="U137" s="48"/>
      <c r="V137" s="48"/>
      <c r="W137" s="48"/>
      <c r="X137" s="48"/>
      <c r="Y137" s="48"/>
      <c r="Z137" s="44"/>
      <c r="AA137" s="44"/>
      <c r="AB137" s="44"/>
    </row>
    <row r="138" spans="1:28" ht="15.6">
      <c r="A138" s="572">
        <f t="shared" si="3"/>
        <v>124</v>
      </c>
      <c r="B138" s="1264" t="s">
        <v>3214</v>
      </c>
      <c r="C138" s="1255">
        <v>0.2</v>
      </c>
      <c r="D138" s="1254">
        <v>-467607.84</v>
      </c>
      <c r="E138" s="1254">
        <v>-301275.56</v>
      </c>
      <c r="F138" s="1254">
        <v>0</v>
      </c>
      <c r="G138" s="1254">
        <v>0</v>
      </c>
      <c r="H138" s="272">
        <f t="shared" si="4"/>
        <v>-768883.4</v>
      </c>
      <c r="I138" s="217"/>
      <c r="J138" s="217"/>
      <c r="K138" s="44"/>
      <c r="L138" s="44"/>
      <c r="M138" s="48"/>
      <c r="N138" s="48"/>
      <c r="O138" s="48"/>
      <c r="P138" s="48"/>
      <c r="Q138" s="48"/>
      <c r="R138" s="48"/>
      <c r="S138" s="48"/>
      <c r="T138" s="48"/>
      <c r="U138" s="48"/>
      <c r="V138" s="48"/>
      <c r="W138" s="48"/>
      <c r="X138" s="48"/>
      <c r="Y138" s="48"/>
      <c r="Z138" s="44"/>
      <c r="AA138" s="44"/>
      <c r="AB138" s="44"/>
    </row>
    <row r="139" spans="1:28" ht="20.399999999999999">
      <c r="A139" s="1730" t="s">
        <v>2988</v>
      </c>
      <c r="B139" s="1730"/>
      <c r="C139" s="1730"/>
      <c r="D139" s="1730"/>
      <c r="E139" s="1730"/>
      <c r="F139" s="1730"/>
      <c r="G139" s="1730"/>
      <c r="H139" s="1730"/>
      <c r="I139" s="217"/>
      <c r="J139" s="217"/>
      <c r="K139" s="44"/>
      <c r="L139" s="44"/>
      <c r="M139" s="48"/>
      <c r="N139" s="48"/>
      <c r="O139" s="48"/>
      <c r="P139" s="48"/>
      <c r="Q139" s="48"/>
      <c r="R139" s="48"/>
      <c r="S139" s="48"/>
      <c r="T139" s="48"/>
      <c r="U139" s="48"/>
      <c r="V139" s="48"/>
      <c r="W139" s="48"/>
      <c r="X139" s="48"/>
      <c r="Y139" s="48"/>
      <c r="Z139" s="44"/>
      <c r="AA139" s="44"/>
      <c r="AB139" s="44"/>
    </row>
    <row r="140" spans="1:28" ht="19.2">
      <c r="A140" s="1731" t="str">
        <f>$A$69</f>
        <v>For Contract Year Beginning June 1, 2024, Based on 2023 Data</v>
      </c>
      <c r="B140" s="1797"/>
      <c r="C140" s="1797"/>
      <c r="D140" s="1797"/>
      <c r="E140" s="1797"/>
      <c r="F140" s="1797"/>
      <c r="G140" s="1797"/>
      <c r="H140" s="1797"/>
      <c r="I140" s="217"/>
      <c r="J140" s="217"/>
      <c r="K140" s="44"/>
      <c r="L140" s="44"/>
      <c r="M140" s="48"/>
      <c r="N140" s="48"/>
      <c r="O140" s="48"/>
      <c r="P140" s="48"/>
      <c r="Q140" s="48"/>
      <c r="R140" s="48"/>
      <c r="S140" s="48"/>
      <c r="T140" s="48"/>
      <c r="U140" s="48"/>
      <c r="V140" s="48"/>
      <c r="W140" s="48"/>
      <c r="X140" s="48"/>
      <c r="Y140" s="48"/>
      <c r="Z140" s="44"/>
      <c r="AA140" s="44"/>
      <c r="AB140" s="44"/>
    </row>
    <row r="141" spans="1:28" ht="17.399999999999999">
      <c r="A141" s="1529"/>
      <c r="B141" s="1529"/>
      <c r="C141" s="39"/>
      <c r="D141" s="39"/>
      <c r="E141" s="39"/>
      <c r="F141" s="39"/>
      <c r="G141" s="39"/>
      <c r="H141" s="39"/>
      <c r="I141" s="217"/>
      <c r="J141" s="217"/>
      <c r="K141" s="44"/>
      <c r="L141" s="44"/>
      <c r="M141" s="48"/>
      <c r="N141" s="48"/>
      <c r="O141" s="48"/>
      <c r="P141" s="48"/>
      <c r="Q141" s="48"/>
      <c r="R141" s="48"/>
      <c r="S141" s="48"/>
      <c r="T141" s="48"/>
      <c r="U141" s="48"/>
      <c r="V141" s="48"/>
      <c r="W141" s="48"/>
      <c r="X141" s="48"/>
      <c r="Y141" s="48"/>
      <c r="Z141" s="44"/>
      <c r="AA141" s="44"/>
      <c r="AB141" s="44"/>
    </row>
    <row r="142" spans="1:28" ht="15.6">
      <c r="A142" s="8"/>
      <c r="B142" s="8"/>
      <c r="C142" s="414" t="s">
        <v>480</v>
      </c>
      <c r="D142" s="414" t="s">
        <v>481</v>
      </c>
      <c r="E142" s="414" t="s">
        <v>482</v>
      </c>
      <c r="F142" s="414" t="s">
        <v>483</v>
      </c>
      <c r="G142" s="414" t="s">
        <v>484</v>
      </c>
      <c r="H142" s="414" t="s">
        <v>884</v>
      </c>
      <c r="I142" s="217"/>
      <c r="J142" s="217"/>
      <c r="K142" s="44"/>
      <c r="L142" s="44"/>
      <c r="M142" s="48"/>
      <c r="N142" s="48"/>
      <c r="O142" s="48"/>
      <c r="P142" s="48"/>
      <c r="Q142" s="48"/>
      <c r="R142" s="48"/>
      <c r="S142" s="48"/>
      <c r="T142" s="48"/>
      <c r="U142" s="48"/>
      <c r="V142" s="48"/>
      <c r="W142" s="48"/>
      <c r="X142" s="48"/>
      <c r="Y142" s="48"/>
      <c r="Z142" s="44"/>
      <c r="AA142" s="44"/>
      <c r="AB142" s="44"/>
    </row>
    <row r="143" spans="1:28" ht="15.6">
      <c r="A143" s="1530"/>
      <c r="B143" s="1530"/>
      <c r="C143" s="1530"/>
      <c r="D143" s="319" t="s">
        <v>469</v>
      </c>
      <c r="E143" s="319"/>
      <c r="F143" s="319"/>
      <c r="G143" s="319"/>
      <c r="H143" s="319" t="s">
        <v>2250</v>
      </c>
      <c r="I143" s="217"/>
      <c r="J143" s="217"/>
      <c r="K143" s="44"/>
      <c r="L143" s="44"/>
      <c r="M143" s="48"/>
      <c r="N143" s="48"/>
      <c r="O143" s="48"/>
      <c r="P143" s="48"/>
      <c r="Q143" s="48"/>
      <c r="R143" s="48"/>
      <c r="S143" s="48"/>
      <c r="T143" s="48"/>
      <c r="U143" s="48"/>
      <c r="V143" s="48"/>
      <c r="W143" s="48"/>
      <c r="X143" s="48"/>
      <c r="Y143" s="48"/>
      <c r="Z143" s="44"/>
      <c r="AA143" s="44"/>
      <c r="AB143" s="44"/>
    </row>
    <row r="144" spans="1:28" ht="15.6">
      <c r="A144" s="1530"/>
      <c r="B144" s="1530"/>
      <c r="C144" s="600" t="s">
        <v>2344</v>
      </c>
      <c r="D144" s="319" t="s">
        <v>655</v>
      </c>
      <c r="E144" s="319" t="s">
        <v>656</v>
      </c>
      <c r="F144" s="319" t="s">
        <v>656</v>
      </c>
      <c r="G144" s="319" t="s">
        <v>656</v>
      </c>
      <c r="H144" s="320" t="s">
        <v>2251</v>
      </c>
      <c r="I144" s="217"/>
      <c r="J144" s="217"/>
      <c r="K144" s="44"/>
      <c r="L144" s="44"/>
      <c r="M144" s="48"/>
      <c r="N144" s="48"/>
      <c r="O144" s="48"/>
      <c r="P144" s="48"/>
      <c r="Q144" s="48"/>
      <c r="R144" s="48"/>
      <c r="S144" s="48"/>
      <c r="T144" s="48"/>
      <c r="U144" s="48"/>
      <c r="V144" s="48"/>
      <c r="W144" s="48"/>
      <c r="X144" s="48"/>
      <c r="Y144" s="48"/>
      <c r="Z144" s="44"/>
      <c r="AA144" s="44"/>
      <c r="AB144" s="44"/>
    </row>
    <row r="145" spans="1:28" ht="18.600000000000001">
      <c r="A145" s="1531" t="s">
        <v>494</v>
      </c>
      <c r="B145" s="397" t="s">
        <v>880</v>
      </c>
      <c r="C145" s="627" t="s">
        <v>2483</v>
      </c>
      <c r="D145" s="398" t="s">
        <v>2251</v>
      </c>
      <c r="E145" s="627" t="s">
        <v>2484</v>
      </c>
      <c r="F145" s="397" t="s">
        <v>515</v>
      </c>
      <c r="G145" s="397" t="s">
        <v>516</v>
      </c>
      <c r="H145" s="629" t="s">
        <v>2349</v>
      </c>
      <c r="I145" s="217"/>
      <c r="J145" s="217"/>
      <c r="K145" s="44"/>
      <c r="L145" s="44"/>
      <c r="M145" s="48"/>
      <c r="N145" s="48"/>
      <c r="O145" s="48"/>
      <c r="P145" s="48"/>
      <c r="Q145" s="48"/>
      <c r="R145" s="48"/>
      <c r="S145" s="48"/>
      <c r="T145" s="48"/>
      <c r="U145" s="48"/>
      <c r="V145" s="48"/>
      <c r="W145" s="48"/>
      <c r="X145" s="48"/>
      <c r="Y145" s="48"/>
      <c r="Z145" s="44"/>
      <c r="AA145" s="44"/>
      <c r="AB145" s="44"/>
    </row>
    <row r="146" spans="1:28" ht="15.6">
      <c r="A146" s="572">
        <f>A138+1</f>
        <v>125</v>
      </c>
      <c r="B146" s="1629" t="s">
        <v>3215</v>
      </c>
      <c r="C146" s="1473">
        <v>0.2</v>
      </c>
      <c r="D146" s="1624">
        <v>0</v>
      </c>
      <c r="E146" s="1624">
        <v>0</v>
      </c>
      <c r="F146" s="1624">
        <v>0</v>
      </c>
      <c r="G146" s="1624">
        <v>0</v>
      </c>
      <c r="H146" s="272">
        <f t="shared" si="4"/>
        <v>0</v>
      </c>
      <c r="I146" s="217"/>
      <c r="J146" s="217"/>
      <c r="K146" s="44"/>
      <c r="L146" s="44"/>
      <c r="M146" s="48"/>
      <c r="N146" s="48"/>
      <c r="O146" s="48"/>
      <c r="P146" s="48"/>
      <c r="Q146" s="48"/>
      <c r="R146" s="48"/>
      <c r="S146" s="48"/>
      <c r="T146" s="48"/>
      <c r="U146" s="48"/>
      <c r="V146" s="48"/>
      <c r="W146" s="48"/>
      <c r="X146" s="48"/>
      <c r="Y146" s="48"/>
      <c r="Z146" s="44"/>
      <c r="AA146" s="44"/>
      <c r="AB146" s="44"/>
    </row>
    <row r="147" spans="1:28" ht="15.6">
      <c r="A147" s="572">
        <f t="shared" si="3"/>
        <v>126</v>
      </c>
      <c r="B147" s="1629" t="s">
        <v>3216</v>
      </c>
      <c r="C147" s="1473">
        <v>0.2</v>
      </c>
      <c r="D147" s="1624">
        <v>-5871.98</v>
      </c>
      <c r="E147" s="1624">
        <v>-3355.42</v>
      </c>
      <c r="F147" s="1624">
        <v>0</v>
      </c>
      <c r="G147" s="1624">
        <v>0</v>
      </c>
      <c r="H147" s="272">
        <f t="shared" si="4"/>
        <v>-9227.4</v>
      </c>
      <c r="I147" s="217"/>
      <c r="J147" s="217"/>
      <c r="K147" s="44"/>
      <c r="L147" s="44"/>
      <c r="M147" s="48"/>
      <c r="N147" s="48"/>
      <c r="O147" s="48"/>
      <c r="P147" s="48"/>
      <c r="Q147" s="48"/>
      <c r="R147" s="48"/>
      <c r="S147" s="48"/>
      <c r="T147" s="48"/>
      <c r="U147" s="48"/>
      <c r="V147" s="48"/>
      <c r="W147" s="48"/>
      <c r="X147" s="48"/>
      <c r="Y147" s="48"/>
      <c r="Z147" s="44"/>
      <c r="AA147" s="44"/>
      <c r="AB147" s="44"/>
    </row>
    <row r="148" spans="1:28" ht="31.2">
      <c r="A148" s="572">
        <f t="shared" si="3"/>
        <v>127</v>
      </c>
      <c r="B148" s="1629" t="s">
        <v>3426</v>
      </c>
      <c r="C148" s="1473">
        <v>0.2</v>
      </c>
      <c r="D148" s="1624">
        <v>23.4</v>
      </c>
      <c r="E148" s="1624">
        <v>13.370000000000001</v>
      </c>
      <c r="F148" s="1624">
        <v>0</v>
      </c>
      <c r="G148" s="1624">
        <v>0</v>
      </c>
      <c r="H148" s="272">
        <f t="shared" si="4"/>
        <v>36.769999999999996</v>
      </c>
      <c r="I148" s="217"/>
      <c r="J148" s="217"/>
      <c r="K148" s="44"/>
      <c r="L148" s="44"/>
      <c r="M148" s="48"/>
      <c r="N148" s="48"/>
      <c r="O148" s="48"/>
      <c r="P148" s="48"/>
      <c r="Q148" s="48"/>
      <c r="R148" s="48"/>
      <c r="S148" s="48"/>
      <c r="T148" s="48"/>
      <c r="U148" s="48"/>
      <c r="V148" s="48"/>
      <c r="W148" s="48"/>
      <c r="X148" s="48"/>
      <c r="Y148" s="48"/>
      <c r="Z148" s="44"/>
      <c r="AA148" s="44"/>
      <c r="AB148" s="44"/>
    </row>
    <row r="149" spans="1:28" ht="15.6">
      <c r="A149" s="572">
        <f t="shared" si="3"/>
        <v>128</v>
      </c>
      <c r="B149" s="1629" t="s">
        <v>3217</v>
      </c>
      <c r="C149" s="1473">
        <v>0.2</v>
      </c>
      <c r="D149" s="1624">
        <v>136.91</v>
      </c>
      <c r="E149" s="1624">
        <v>78.22999999999999</v>
      </c>
      <c r="F149" s="1624">
        <v>0</v>
      </c>
      <c r="G149" s="1624">
        <v>0</v>
      </c>
      <c r="H149" s="272">
        <f t="shared" si="4"/>
        <v>215.14</v>
      </c>
      <c r="I149" s="217"/>
      <c r="J149" s="217"/>
      <c r="K149" s="44"/>
      <c r="L149" s="44"/>
      <c r="M149" s="48"/>
      <c r="N149" s="48"/>
      <c r="O149" s="48"/>
      <c r="P149" s="48"/>
      <c r="Q149" s="48"/>
      <c r="R149" s="48"/>
      <c r="S149" s="48"/>
      <c r="T149" s="48"/>
      <c r="U149" s="48"/>
      <c r="V149" s="48"/>
      <c r="W149" s="48"/>
      <c r="X149" s="48"/>
      <c r="Y149" s="48"/>
      <c r="Z149" s="44"/>
      <c r="AA149" s="44"/>
      <c r="AB149" s="44"/>
    </row>
    <row r="150" spans="1:28" ht="15.6">
      <c r="A150" s="572">
        <f t="shared" si="3"/>
        <v>129</v>
      </c>
      <c r="B150" s="1629" t="s">
        <v>3218</v>
      </c>
      <c r="C150" s="1473">
        <v>0.2</v>
      </c>
      <c r="D150" s="1624">
        <v>-1199880.79</v>
      </c>
      <c r="E150" s="1624">
        <v>-599940.38</v>
      </c>
      <c r="F150" s="1624">
        <v>0</v>
      </c>
      <c r="G150" s="1624">
        <v>0</v>
      </c>
      <c r="H150" s="272">
        <f t="shared" si="4"/>
        <v>-1799821.17</v>
      </c>
      <c r="I150" s="217"/>
      <c r="J150" s="217"/>
      <c r="K150" s="44"/>
      <c r="L150" s="44"/>
      <c r="M150" s="48"/>
      <c r="N150" s="48"/>
      <c r="O150" s="48"/>
      <c r="P150" s="48"/>
      <c r="Q150" s="48"/>
      <c r="R150" s="48"/>
      <c r="S150" s="48"/>
      <c r="T150" s="48"/>
      <c r="U150" s="48"/>
      <c r="V150" s="48"/>
      <c r="W150" s="48"/>
      <c r="X150" s="48"/>
      <c r="Y150" s="48"/>
      <c r="Z150" s="44"/>
      <c r="AA150" s="44"/>
      <c r="AB150" s="44"/>
    </row>
    <row r="151" spans="1:28" ht="15.6">
      <c r="A151" s="572">
        <f t="shared" si="3"/>
        <v>130</v>
      </c>
      <c r="B151" s="1629" t="s">
        <v>3427</v>
      </c>
      <c r="C151" s="1473">
        <v>0.2</v>
      </c>
      <c r="D151" s="1624">
        <v>-310771.63000000006</v>
      </c>
      <c r="E151" s="1624">
        <v>-475886.06000000006</v>
      </c>
      <c r="F151" s="1624">
        <v>0</v>
      </c>
      <c r="G151" s="1624">
        <v>0</v>
      </c>
      <c r="H151" s="272">
        <f t="shared" si="4"/>
        <v>-786657.69000000018</v>
      </c>
      <c r="I151" s="217"/>
      <c r="J151" s="217"/>
      <c r="K151" s="44"/>
      <c r="L151" s="44"/>
      <c r="M151" s="48"/>
      <c r="N151" s="48"/>
      <c r="O151" s="48"/>
      <c r="P151" s="48"/>
      <c r="Q151" s="48"/>
      <c r="R151" s="48"/>
      <c r="S151" s="48"/>
      <c r="T151" s="48"/>
      <c r="U151" s="48"/>
      <c r="V151" s="48"/>
      <c r="W151" s="48"/>
      <c r="X151" s="48"/>
      <c r="Y151" s="48"/>
      <c r="Z151" s="44"/>
      <c r="AA151" s="44"/>
      <c r="AB151" s="44"/>
    </row>
    <row r="152" spans="1:28" ht="15.6">
      <c r="A152" s="572">
        <f t="shared" si="3"/>
        <v>131</v>
      </c>
      <c r="B152" s="1629" t="s">
        <v>3428</v>
      </c>
      <c r="C152" s="1473">
        <v>0.2</v>
      </c>
      <c r="D152" s="1624">
        <v>-2440.7200000000003</v>
      </c>
      <c r="E152" s="1624">
        <v>-4822.4400000000005</v>
      </c>
      <c r="F152" s="1624">
        <v>0</v>
      </c>
      <c r="G152" s="1624">
        <v>0</v>
      </c>
      <c r="H152" s="272">
        <f t="shared" si="4"/>
        <v>-7263.1600000000008</v>
      </c>
      <c r="I152" s="217"/>
      <c r="J152" s="217"/>
      <c r="K152" s="44"/>
      <c r="L152" s="44"/>
      <c r="M152" s="48"/>
      <c r="N152" s="48"/>
      <c r="O152" s="48"/>
      <c r="P152" s="48"/>
      <c r="Q152" s="48"/>
      <c r="R152" s="48"/>
      <c r="S152" s="48"/>
      <c r="T152" s="48"/>
      <c r="U152" s="48"/>
      <c r="V152" s="48"/>
      <c r="W152" s="48"/>
      <c r="X152" s="48"/>
      <c r="Y152" s="48"/>
      <c r="Z152" s="44"/>
      <c r="AA152" s="44"/>
      <c r="AB152" s="44"/>
    </row>
    <row r="153" spans="1:28" ht="15.6">
      <c r="A153" s="572">
        <f t="shared" si="3"/>
        <v>132</v>
      </c>
      <c r="B153" s="1629" t="s">
        <v>3429</v>
      </c>
      <c r="C153" s="1473">
        <v>0.2</v>
      </c>
      <c r="D153" s="1624">
        <v>-184636.09999999998</v>
      </c>
      <c r="E153" s="1624">
        <v>-221563.33000000002</v>
      </c>
      <c r="F153" s="1624">
        <v>0</v>
      </c>
      <c r="G153" s="1624">
        <v>0</v>
      </c>
      <c r="H153" s="272">
        <f t="shared" si="4"/>
        <v>-406199.43</v>
      </c>
      <c r="I153" s="217"/>
      <c r="J153" s="217"/>
      <c r="K153" s="44"/>
      <c r="L153" s="44"/>
      <c r="M153" s="48"/>
      <c r="N153" s="48"/>
      <c r="O153" s="48"/>
      <c r="P153" s="48"/>
      <c r="Q153" s="48"/>
      <c r="R153" s="48"/>
      <c r="S153" s="48"/>
      <c r="T153" s="48"/>
      <c r="U153" s="48"/>
      <c r="V153" s="48"/>
      <c r="W153" s="48"/>
      <c r="X153" s="48"/>
      <c r="Y153" s="48"/>
      <c r="Z153" s="44"/>
      <c r="AA153" s="44"/>
      <c r="AB153" s="44"/>
    </row>
    <row r="154" spans="1:28" ht="15.6">
      <c r="A154" s="572">
        <f t="shared" si="3"/>
        <v>133</v>
      </c>
      <c r="B154" s="1629" t="s">
        <v>3430</v>
      </c>
      <c r="C154" s="1473">
        <v>0.2</v>
      </c>
      <c r="D154" s="1624">
        <v>-334184.95</v>
      </c>
      <c r="E154" s="1624">
        <v>-174357.36000000002</v>
      </c>
      <c r="F154" s="1624">
        <v>0</v>
      </c>
      <c r="G154" s="1624">
        <v>0</v>
      </c>
      <c r="H154" s="272">
        <f t="shared" si="4"/>
        <v>-508542.31000000006</v>
      </c>
      <c r="I154" s="217"/>
      <c r="J154" s="217"/>
      <c r="K154" s="44"/>
      <c r="L154" s="44"/>
      <c r="M154" s="48"/>
      <c r="N154" s="48"/>
      <c r="O154" s="48"/>
      <c r="P154" s="48"/>
      <c r="Q154" s="48"/>
      <c r="R154" s="48"/>
      <c r="S154" s="48"/>
      <c r="T154" s="48"/>
      <c r="U154" s="48"/>
      <c r="V154" s="48"/>
      <c r="W154" s="48"/>
      <c r="X154" s="48"/>
      <c r="Y154" s="48"/>
      <c r="Z154" s="44"/>
      <c r="AA154" s="44"/>
      <c r="AB154" s="44"/>
    </row>
    <row r="155" spans="1:28" ht="16.5" customHeight="1">
      <c r="A155" s="355"/>
      <c r="B155" s="217"/>
      <c r="C155" s="217"/>
      <c r="D155" s="272"/>
      <c r="E155" s="272"/>
      <c r="F155" s="272"/>
      <c r="G155" s="272"/>
      <c r="H155" s="272"/>
      <c r="I155" s="217"/>
      <c r="J155" s="217"/>
      <c r="K155" s="44"/>
      <c r="L155" s="44"/>
      <c r="M155" s="48"/>
      <c r="N155" s="48"/>
      <c r="O155" s="48"/>
      <c r="P155" s="48"/>
      <c r="Q155" s="48"/>
      <c r="R155" s="48"/>
      <c r="S155" s="48"/>
      <c r="T155" s="48"/>
      <c r="U155" s="48"/>
      <c r="V155" s="48"/>
      <c r="W155" s="48"/>
      <c r="X155" s="48"/>
      <c r="Y155" s="48"/>
      <c r="Z155" s="44"/>
      <c r="AA155" s="44"/>
      <c r="AB155" s="44"/>
    </row>
    <row r="156" spans="1:28" s="599" customFormat="1" ht="15.6">
      <c r="A156" s="598">
        <f>A154+1</f>
        <v>134</v>
      </c>
      <c r="B156" s="325" t="s">
        <v>3185</v>
      </c>
      <c r="C156" s="217"/>
      <c r="D156" s="272">
        <f>SUM(D9:D155)</f>
        <v>-30049902.319999997</v>
      </c>
      <c r="E156" s="272">
        <f>SUM(E9:E155)</f>
        <v>-2267244.13</v>
      </c>
      <c r="F156" s="272">
        <f>SUM(F9:F155)</f>
        <v>1186223.8500000001</v>
      </c>
      <c r="G156" s="272">
        <f>SUM(G9:G155)</f>
        <v>0</v>
      </c>
      <c r="H156" s="1297">
        <f>SUM(H9:H155)</f>
        <v>-31130922.59999999</v>
      </c>
      <c r="I156" s="217"/>
      <c r="J156" s="217"/>
      <c r="K156" s="48"/>
      <c r="L156" s="48"/>
      <c r="M156" s="48"/>
      <c r="N156" s="48"/>
      <c r="O156" s="48"/>
      <c r="P156" s="48"/>
      <c r="Q156" s="48"/>
      <c r="R156" s="48"/>
      <c r="S156" s="48"/>
      <c r="T156" s="48"/>
      <c r="U156" s="48"/>
      <c r="V156" s="48"/>
      <c r="W156" s="48"/>
      <c r="X156" s="48"/>
      <c r="Y156" s="48"/>
      <c r="Z156" s="48"/>
      <c r="AA156" s="48"/>
      <c r="AB156" s="48"/>
    </row>
    <row r="157" spans="1:28" ht="15.75" customHeight="1">
      <c r="H157" s="441" t="s">
        <v>1604</v>
      </c>
    </row>
    <row r="158" spans="1:28" ht="6.75" customHeight="1">
      <c r="H158" s="242"/>
    </row>
    <row r="159" spans="1:28" ht="20.399999999999999">
      <c r="A159" s="1730" t="s">
        <v>2988</v>
      </c>
      <c r="B159" s="1730"/>
      <c r="C159" s="1730"/>
      <c r="D159" s="1730"/>
      <c r="E159" s="1730"/>
      <c r="F159" s="1730"/>
      <c r="G159" s="1730"/>
      <c r="H159" s="1730"/>
    </row>
    <row r="160" spans="1:28" ht="19.2">
      <c r="A160" s="1731" t="str">
        <f>A2</f>
        <v>For Contract Year Beginning June 1, 2024, Based on 2023 Data</v>
      </c>
      <c r="B160" s="1797"/>
      <c r="C160" s="1797"/>
      <c r="D160" s="1797"/>
      <c r="E160" s="1797"/>
      <c r="F160" s="1797"/>
      <c r="G160" s="1797"/>
      <c r="H160" s="1797"/>
      <c r="I160" s="44"/>
    </row>
    <row r="161" spans="1:10" ht="12" customHeight="1">
      <c r="A161" s="16"/>
      <c r="B161" s="16"/>
      <c r="C161" s="39"/>
      <c r="D161" s="39"/>
      <c r="E161" s="39"/>
      <c r="F161" s="39"/>
      <c r="G161" s="39"/>
      <c r="H161" s="39"/>
      <c r="I161" s="44"/>
    </row>
    <row r="162" spans="1:10" ht="13.5" customHeight="1">
      <c r="A162" s="8"/>
      <c r="B162" s="8"/>
      <c r="C162" s="414" t="s">
        <v>480</v>
      </c>
      <c r="D162" s="414" t="s">
        <v>481</v>
      </c>
      <c r="E162" s="414" t="s">
        <v>482</v>
      </c>
      <c r="F162" s="414" t="s">
        <v>483</v>
      </c>
      <c r="G162" s="414" t="s">
        <v>484</v>
      </c>
      <c r="H162" s="414" t="s">
        <v>884</v>
      </c>
      <c r="I162" s="218"/>
      <c r="J162" s="217"/>
    </row>
    <row r="163" spans="1:10" ht="13.5" customHeight="1">
      <c r="A163" s="318"/>
      <c r="B163" s="318"/>
      <c r="C163" s="318"/>
      <c r="D163" s="319" t="s">
        <v>469</v>
      </c>
      <c r="E163" s="319"/>
      <c r="F163" s="319"/>
      <c r="G163" s="319"/>
      <c r="H163" s="319" t="s">
        <v>2250</v>
      </c>
      <c r="I163" s="218"/>
      <c r="J163" s="217"/>
    </row>
    <row r="164" spans="1:10" ht="13.5" customHeight="1">
      <c r="A164" s="318"/>
      <c r="B164" s="318"/>
      <c r="C164" s="600" t="s">
        <v>2348</v>
      </c>
      <c r="D164" s="319" t="s">
        <v>655</v>
      </c>
      <c r="E164" s="319" t="s">
        <v>656</v>
      </c>
      <c r="F164" s="319" t="s">
        <v>656</v>
      </c>
      <c r="G164" s="319" t="s">
        <v>656</v>
      </c>
      <c r="H164" s="320" t="s">
        <v>2251</v>
      </c>
      <c r="I164" s="218"/>
      <c r="J164" s="217"/>
    </row>
    <row r="165" spans="1:10" ht="18.600000000000001">
      <c r="A165" s="113" t="s">
        <v>494</v>
      </c>
      <c r="B165" s="397" t="s">
        <v>880</v>
      </c>
      <c r="C165" s="627" t="s">
        <v>2485</v>
      </c>
      <c r="D165" s="398" t="s">
        <v>2251</v>
      </c>
      <c r="E165" s="627" t="s">
        <v>2484</v>
      </c>
      <c r="F165" s="397" t="s">
        <v>515</v>
      </c>
      <c r="G165" s="397" t="s">
        <v>516</v>
      </c>
      <c r="H165" s="629" t="s">
        <v>2349</v>
      </c>
      <c r="I165" s="218"/>
      <c r="J165" s="217"/>
    </row>
    <row r="166" spans="1:10" s="298" customFormat="1" ht="15.75" customHeight="1">
      <c r="A166" s="572">
        <f>A156+1</f>
        <v>135</v>
      </c>
      <c r="B166" s="271" t="s">
        <v>3182</v>
      </c>
      <c r="C166" s="442"/>
      <c r="D166" s="442"/>
      <c r="E166" s="442"/>
      <c r="F166" s="442"/>
      <c r="G166" s="442"/>
    </row>
    <row r="167" spans="1:10" s="298" customFormat="1" ht="15.75" customHeight="1">
      <c r="A167" s="572">
        <f t="shared" ref="A167:A185" si="5">A166+1</f>
        <v>136</v>
      </c>
      <c r="B167" s="1622" t="s">
        <v>3351</v>
      </c>
      <c r="C167" s="1628"/>
      <c r="D167" s="1624">
        <v>5869.58</v>
      </c>
      <c r="E167" s="1624">
        <v>0</v>
      </c>
      <c r="F167" s="1624">
        <v>0</v>
      </c>
      <c r="G167" s="1624">
        <v>0</v>
      </c>
      <c r="H167" s="440">
        <f t="shared" ref="H167:H172" si="6">+D167+E167+F167+G167</f>
        <v>5869.58</v>
      </c>
    </row>
    <row r="168" spans="1:10" s="298" customFormat="1" ht="15.75" customHeight="1">
      <c r="A168" s="572">
        <f t="shared" si="5"/>
        <v>137</v>
      </c>
      <c r="B168" s="1622" t="s">
        <v>3352</v>
      </c>
      <c r="C168" s="1628"/>
      <c r="D168" s="1624">
        <v>836348</v>
      </c>
      <c r="E168" s="1624">
        <v>0</v>
      </c>
      <c r="F168" s="1624">
        <v>0</v>
      </c>
      <c r="G168" s="1624">
        <v>0</v>
      </c>
      <c r="H168" s="440">
        <f t="shared" si="6"/>
        <v>836348</v>
      </c>
    </row>
    <row r="169" spans="1:10" s="298" customFormat="1" ht="15.75" customHeight="1">
      <c r="A169" s="572">
        <f t="shared" si="5"/>
        <v>138</v>
      </c>
      <c r="B169" s="1622" t="s">
        <v>3353</v>
      </c>
      <c r="C169" s="1628"/>
      <c r="D169" s="1624">
        <v>64703.270000000004</v>
      </c>
      <c r="E169" s="1624">
        <v>0</v>
      </c>
      <c r="F169" s="1624">
        <v>0</v>
      </c>
      <c r="G169" s="1624">
        <v>0</v>
      </c>
      <c r="H169" s="440">
        <f>+D169+E169+F169+G169</f>
        <v>64703.270000000004</v>
      </c>
    </row>
    <row r="170" spans="1:10" s="298" customFormat="1" ht="15.75" customHeight="1">
      <c r="A170" s="572">
        <f t="shared" si="5"/>
        <v>139</v>
      </c>
      <c r="B170" s="1622" t="s">
        <v>3354</v>
      </c>
      <c r="C170" s="1628"/>
      <c r="D170" s="1624">
        <v>24.8</v>
      </c>
      <c r="E170" s="1624">
        <v>0</v>
      </c>
      <c r="F170" s="1624">
        <v>0</v>
      </c>
      <c r="G170" s="1624">
        <v>0</v>
      </c>
      <c r="H170" s="440">
        <f>+D170+E170+F170+G170</f>
        <v>24.8</v>
      </c>
    </row>
    <row r="171" spans="1:10" s="298" customFormat="1" ht="15.75" customHeight="1">
      <c r="A171" s="572">
        <f t="shared" si="5"/>
        <v>140</v>
      </c>
      <c r="B171" s="1622" t="s">
        <v>3355</v>
      </c>
      <c r="C171" s="1628"/>
      <c r="D171" s="1624">
        <v>0</v>
      </c>
      <c r="E171" s="1624">
        <v>0</v>
      </c>
      <c r="F171" s="1624">
        <v>0</v>
      </c>
      <c r="G171" s="1624">
        <v>0</v>
      </c>
      <c r="H171" s="440">
        <f>+D171+E171+F171+G171</f>
        <v>0</v>
      </c>
    </row>
    <row r="172" spans="1:10" s="298" customFormat="1" ht="15.75" customHeight="1">
      <c r="A172" s="572">
        <f t="shared" si="5"/>
        <v>141</v>
      </c>
      <c r="B172" s="1622" t="s">
        <v>1954</v>
      </c>
      <c r="C172" s="1625">
        <v>5</v>
      </c>
      <c r="D172" s="1624">
        <v>4557878.37</v>
      </c>
      <c r="E172" s="1624">
        <v>170863.02</v>
      </c>
      <c r="F172" s="1624">
        <v>-46150.3</v>
      </c>
      <c r="G172" s="1624">
        <v>0</v>
      </c>
      <c r="H172" s="440">
        <f t="shared" si="6"/>
        <v>4682591.09</v>
      </c>
    </row>
    <row r="173" spans="1:10" s="298" customFormat="1" ht="15.75" customHeight="1">
      <c r="A173" s="572">
        <f t="shared" si="5"/>
        <v>142</v>
      </c>
      <c r="B173" s="1622" t="s">
        <v>1956</v>
      </c>
      <c r="C173" s="1625">
        <v>42.25</v>
      </c>
      <c r="D173" s="1624">
        <v>18827983.989999998</v>
      </c>
      <c r="E173" s="1624">
        <v>3449011.2600000002</v>
      </c>
      <c r="F173" s="1624">
        <v>0</v>
      </c>
      <c r="G173" s="1624">
        <v>0</v>
      </c>
      <c r="H173" s="440">
        <f t="shared" ref="H173:H185" si="7">+D173+E173+F173+G173</f>
        <v>22276995.25</v>
      </c>
    </row>
    <row r="174" spans="1:10" s="298" customFormat="1" ht="15.75" customHeight="1">
      <c r="A174" s="572">
        <f t="shared" si="5"/>
        <v>143</v>
      </c>
      <c r="B174" s="1622" t="s">
        <v>1955</v>
      </c>
      <c r="C174" s="1625">
        <v>42.25</v>
      </c>
      <c r="D174" s="1624">
        <v>2912903.52</v>
      </c>
      <c r="E174" s="1624">
        <v>572045.96</v>
      </c>
      <c r="F174" s="1624">
        <v>0</v>
      </c>
      <c r="G174" s="1624">
        <v>0</v>
      </c>
      <c r="H174" s="440">
        <f t="shared" si="7"/>
        <v>3484949.48</v>
      </c>
    </row>
    <row r="175" spans="1:10" s="298" customFormat="1" ht="15.75" customHeight="1">
      <c r="A175" s="572">
        <f t="shared" si="5"/>
        <v>144</v>
      </c>
      <c r="B175" s="1622" t="s">
        <v>1957</v>
      </c>
      <c r="C175" s="1625">
        <v>42.25</v>
      </c>
      <c r="D175" s="1624">
        <v>39480441.57</v>
      </c>
      <c r="E175" s="1624">
        <v>4086133.28</v>
      </c>
      <c r="F175" s="1624">
        <v>-657409.78</v>
      </c>
      <c r="G175" s="1624">
        <v>0</v>
      </c>
      <c r="H175" s="440">
        <f t="shared" si="7"/>
        <v>42909165.07</v>
      </c>
    </row>
    <row r="176" spans="1:10" s="298" customFormat="1" ht="15.75" customHeight="1">
      <c r="A176" s="572">
        <f t="shared" si="5"/>
        <v>145</v>
      </c>
      <c r="B176" s="1622" t="s">
        <v>1958</v>
      </c>
      <c r="C176" s="1625">
        <v>42.25</v>
      </c>
      <c r="D176" s="1624">
        <v>39351971.289999999</v>
      </c>
      <c r="E176" s="1624">
        <v>7369766.4900000002</v>
      </c>
      <c r="F176" s="1624">
        <v>-130870.27</v>
      </c>
      <c r="G176" s="1624">
        <v>0</v>
      </c>
      <c r="H176" s="440">
        <f t="shared" si="7"/>
        <v>46590867.509999998</v>
      </c>
    </row>
    <row r="177" spans="1:10" s="298" customFormat="1" ht="15.75" customHeight="1">
      <c r="A177" s="572">
        <f t="shared" si="5"/>
        <v>146</v>
      </c>
      <c r="B177" s="1622" t="s">
        <v>2615</v>
      </c>
      <c r="C177" s="1625">
        <v>42.25</v>
      </c>
      <c r="D177" s="1624">
        <v>0</v>
      </c>
      <c r="E177" s="1624">
        <v>0</v>
      </c>
      <c r="F177" s="1624">
        <v>0</v>
      </c>
      <c r="G177" s="1624">
        <v>0</v>
      </c>
      <c r="H177" s="440">
        <f t="shared" si="7"/>
        <v>0</v>
      </c>
    </row>
    <row r="178" spans="1:10" s="298" customFormat="1" ht="15.75" customHeight="1">
      <c r="A178" s="572">
        <f t="shared" si="5"/>
        <v>147</v>
      </c>
      <c r="B178" s="1622" t="s">
        <v>2568</v>
      </c>
      <c r="C178" s="1625">
        <v>42.25</v>
      </c>
      <c r="D178" s="1624">
        <v>112697158.83</v>
      </c>
      <c r="E178" s="1624">
        <v>13435540.98</v>
      </c>
      <c r="F178" s="1624">
        <v>0</v>
      </c>
      <c r="G178" s="1624">
        <v>0</v>
      </c>
      <c r="H178" s="440">
        <f t="shared" si="7"/>
        <v>126132699.81</v>
      </c>
    </row>
    <row r="179" spans="1:10" s="298" customFormat="1" ht="15.75" customHeight="1">
      <c r="A179" s="572">
        <f t="shared" si="5"/>
        <v>148</v>
      </c>
      <c r="B179" s="1622" t="s">
        <v>1959</v>
      </c>
      <c r="C179" s="1625">
        <v>42.25</v>
      </c>
      <c r="D179" s="1624">
        <v>465165.33</v>
      </c>
      <c r="E179" s="1624">
        <v>2587.3200000000002</v>
      </c>
      <c r="F179" s="1624">
        <v>0</v>
      </c>
      <c r="G179" s="1624">
        <v>0</v>
      </c>
      <c r="H179" s="440">
        <f t="shared" si="7"/>
        <v>467752.65</v>
      </c>
    </row>
    <row r="180" spans="1:10" s="298" customFormat="1" ht="15.75" customHeight="1">
      <c r="A180" s="572">
        <f t="shared" si="5"/>
        <v>149</v>
      </c>
      <c r="B180" s="1622" t="s">
        <v>1960</v>
      </c>
      <c r="C180" s="1625">
        <v>42.25</v>
      </c>
      <c r="D180" s="1624">
        <v>196530.35</v>
      </c>
      <c r="E180" s="1624">
        <v>29293.920000000002</v>
      </c>
      <c r="F180" s="1624">
        <v>0</v>
      </c>
      <c r="G180" s="1624">
        <v>0</v>
      </c>
      <c r="H180" s="440">
        <f t="shared" si="7"/>
        <v>225824.27000000002</v>
      </c>
    </row>
    <row r="181" spans="1:10" s="298" customFormat="1" ht="15.75" customHeight="1">
      <c r="A181" s="572">
        <f t="shared" si="5"/>
        <v>150</v>
      </c>
      <c r="B181" s="1622" t="s">
        <v>1961</v>
      </c>
      <c r="C181" s="1625">
        <v>42.25</v>
      </c>
      <c r="D181" s="1624">
        <v>8843598.870000001</v>
      </c>
      <c r="E181" s="1624">
        <v>980644.89000000013</v>
      </c>
      <c r="F181" s="1624">
        <v>0</v>
      </c>
      <c r="G181" s="1624">
        <v>0</v>
      </c>
      <c r="H181" s="440">
        <f t="shared" si="7"/>
        <v>9824243.7600000016</v>
      </c>
    </row>
    <row r="182" spans="1:10" s="298" customFormat="1" ht="15.75" customHeight="1">
      <c r="A182" s="572">
        <f t="shared" si="5"/>
        <v>151</v>
      </c>
      <c r="B182" s="1622" t="s">
        <v>1962</v>
      </c>
      <c r="C182" s="1625">
        <v>42.25</v>
      </c>
      <c r="D182" s="1624">
        <v>633151.03</v>
      </c>
      <c r="E182" s="1624">
        <v>104046.90000000001</v>
      </c>
      <c r="F182" s="1624">
        <v>0</v>
      </c>
      <c r="G182" s="1624">
        <v>0</v>
      </c>
      <c r="H182" s="440">
        <f t="shared" si="7"/>
        <v>737197.93</v>
      </c>
    </row>
    <row r="183" spans="1:10" s="298" customFormat="1" ht="15.75" customHeight="1">
      <c r="A183" s="572">
        <f t="shared" si="5"/>
        <v>152</v>
      </c>
      <c r="B183" s="1622" t="s">
        <v>1963</v>
      </c>
      <c r="C183" s="1625">
        <v>42.25</v>
      </c>
      <c r="D183" s="1624">
        <v>5201566.8499999996</v>
      </c>
      <c r="E183" s="1624">
        <v>475693.38</v>
      </c>
      <c r="F183" s="1624">
        <v>0</v>
      </c>
      <c r="G183" s="1624">
        <v>0</v>
      </c>
      <c r="H183" s="440">
        <f t="shared" si="7"/>
        <v>5677260.2299999995</v>
      </c>
    </row>
    <row r="184" spans="1:10" s="298" customFormat="1" ht="15.75" customHeight="1">
      <c r="A184" s="572">
        <f t="shared" si="5"/>
        <v>153</v>
      </c>
      <c r="B184" s="1622" t="s">
        <v>1964</v>
      </c>
      <c r="C184" s="1625">
        <v>42.25</v>
      </c>
      <c r="D184" s="1624">
        <v>553370.13</v>
      </c>
      <c r="E184" s="1624">
        <v>40005</v>
      </c>
      <c r="F184" s="1624">
        <v>0</v>
      </c>
      <c r="G184" s="1624">
        <v>0</v>
      </c>
      <c r="H184" s="440">
        <f t="shared" si="7"/>
        <v>593375.13</v>
      </c>
    </row>
    <row r="185" spans="1:10" s="298" customFormat="1" ht="15.75" customHeight="1">
      <c r="A185" s="572">
        <f t="shared" si="5"/>
        <v>154</v>
      </c>
      <c r="B185" s="1622" t="s">
        <v>1965</v>
      </c>
      <c r="C185" s="1625">
        <v>42.25</v>
      </c>
      <c r="D185" s="1624">
        <v>641948.6</v>
      </c>
      <c r="E185" s="1624">
        <v>19872.84</v>
      </c>
      <c r="F185" s="1624">
        <v>0</v>
      </c>
      <c r="G185" s="1624">
        <v>0</v>
      </c>
      <c r="H185" s="440">
        <f t="shared" si="7"/>
        <v>661821.43999999994</v>
      </c>
    </row>
    <row r="186" spans="1:10" s="298" customFormat="1" ht="15.75" customHeight="1">
      <c r="A186" s="355"/>
      <c r="B186" s="163"/>
      <c r="C186" s="442"/>
      <c r="D186" s="440"/>
      <c r="E186" s="440"/>
      <c r="F186" s="440"/>
      <c r="G186" s="440"/>
      <c r="H186" s="440"/>
    </row>
    <row r="187" spans="1:10" s="298" customFormat="1" ht="15.75" customHeight="1">
      <c r="A187" s="572">
        <f>A185+1</f>
        <v>155</v>
      </c>
      <c r="B187" s="163" t="s">
        <v>3183</v>
      </c>
      <c r="C187" s="442"/>
      <c r="D187" s="440">
        <f>SUM(D167:D185)</f>
        <v>235270614.37999997</v>
      </c>
      <c r="E187" s="440">
        <f>SUM(E167:E185)</f>
        <v>30735505.240000002</v>
      </c>
      <c r="F187" s="440">
        <f>SUM(F167:F185)</f>
        <v>-834430.35000000009</v>
      </c>
      <c r="G187" s="440">
        <f>SUM(G167:G185)</f>
        <v>0</v>
      </c>
      <c r="H187" s="1298">
        <f>SUM(H167:H185)</f>
        <v>265171689.27000001</v>
      </c>
    </row>
    <row r="188" spans="1:10" s="298" customFormat="1" ht="15.75" customHeight="1">
      <c r="A188" s="355"/>
      <c r="B188" s="443"/>
      <c r="C188" s="600"/>
      <c r="D188" s="442"/>
      <c r="E188" s="442"/>
      <c r="F188" s="442"/>
      <c r="G188" s="442"/>
      <c r="H188" s="441" t="s">
        <v>1953</v>
      </c>
    </row>
    <row r="189" spans="1:10" s="298" customFormat="1" ht="15.75" customHeight="1">
      <c r="A189" s="1233"/>
      <c r="B189" s="1232"/>
      <c r="C189" s="444"/>
      <c r="D189" s="440"/>
      <c r="E189" s="440"/>
      <c r="F189" s="440"/>
      <c r="G189" s="440"/>
      <c r="H189" s="440"/>
    </row>
    <row r="190" spans="1:10" s="298" customFormat="1" ht="15.75" customHeight="1">
      <c r="A190" s="355"/>
      <c r="B190" s="443"/>
      <c r="C190" s="442"/>
      <c r="D190" s="440"/>
      <c r="E190" s="440"/>
      <c r="F190" s="440"/>
      <c r="G190" s="440"/>
      <c r="H190" s="440"/>
    </row>
    <row r="191" spans="1:10" ht="15.75" customHeight="1">
      <c r="A191" s="322"/>
      <c r="B191" s="444"/>
      <c r="C191" s="325"/>
      <c r="D191" s="444"/>
      <c r="E191" s="444"/>
      <c r="F191" s="444"/>
      <c r="G191" s="444"/>
      <c r="H191" s="441"/>
      <c r="I191" s="218"/>
      <c r="J191" s="217"/>
    </row>
    <row r="192" spans="1:10" ht="15.75" customHeight="1">
      <c r="A192" s="322"/>
      <c r="B192" s="630" t="s">
        <v>2486</v>
      </c>
      <c r="C192" s="441"/>
      <c r="D192" s="631" t="s">
        <v>2893</v>
      </c>
      <c r="E192" s="444"/>
      <c r="F192" s="444"/>
      <c r="G192" s="444"/>
      <c r="H192" s="441"/>
      <c r="I192" s="218"/>
      <c r="J192" s="217"/>
    </row>
    <row r="193" spans="1:10" ht="15.75" customHeight="1">
      <c r="A193" s="322"/>
      <c r="B193" s="356" t="s">
        <v>2342</v>
      </c>
      <c r="C193" s="441"/>
      <c r="D193" s="440">
        <v>6.67</v>
      </c>
      <c r="E193" s="444"/>
      <c r="F193" s="444"/>
      <c r="G193" s="444"/>
      <c r="H193" s="441"/>
      <c r="I193" s="218"/>
      <c r="J193" s="217"/>
    </row>
    <row r="194" spans="1:10" ht="15.75" customHeight="1">
      <c r="A194" s="322"/>
      <c r="B194" s="356" t="s">
        <v>2343</v>
      </c>
      <c r="C194" s="441"/>
      <c r="D194" s="440">
        <v>20</v>
      </c>
      <c r="E194" s="444"/>
      <c r="F194" s="444"/>
      <c r="G194" s="444"/>
      <c r="H194" s="441"/>
      <c r="I194" s="218"/>
      <c r="J194" s="217"/>
    </row>
    <row r="195" spans="1:10" ht="15.75" customHeight="1">
      <c r="A195" s="322"/>
      <c r="B195" s="356" t="s">
        <v>2347</v>
      </c>
      <c r="C195" s="441"/>
      <c r="D195" s="440">
        <v>2.76</v>
      </c>
      <c r="E195" s="444"/>
      <c r="F195" s="444"/>
      <c r="G195" s="444"/>
      <c r="H195" s="441"/>
      <c r="I195" s="218"/>
      <c r="J195" s="217"/>
    </row>
    <row r="196" spans="1:10" ht="15.75" customHeight="1">
      <c r="A196" s="322"/>
      <c r="B196" s="443"/>
      <c r="C196" s="442"/>
      <c r="D196" s="442"/>
      <c r="E196" s="444"/>
      <c r="F196" s="444"/>
      <c r="G196" s="444"/>
      <c r="H196" s="441"/>
      <c r="I196" s="218"/>
      <c r="J196" s="217"/>
    </row>
    <row r="197" spans="1:10" ht="15.75" customHeight="1">
      <c r="A197" s="322"/>
      <c r="B197" s="163" t="s">
        <v>3184</v>
      </c>
      <c r="C197" s="325"/>
      <c r="D197" s="444"/>
      <c r="E197" s="444"/>
      <c r="F197" s="444"/>
      <c r="G197" s="444"/>
      <c r="H197" s="441"/>
      <c r="I197" s="218"/>
      <c r="J197" s="217"/>
    </row>
    <row r="198" spans="1:10" ht="15.75" customHeight="1">
      <c r="A198" s="322"/>
      <c r="B198" s="443"/>
      <c r="C198" s="442"/>
      <c r="D198" s="442"/>
      <c r="E198" s="444"/>
      <c r="F198" s="444"/>
      <c r="G198" s="444"/>
      <c r="H198" s="441"/>
      <c r="I198" s="218"/>
      <c r="J198" s="217"/>
    </row>
    <row r="199" spans="1:10" ht="15.75" customHeight="1">
      <c r="A199" s="322"/>
      <c r="B199" s="21" t="s">
        <v>363</v>
      </c>
      <c r="C199" s="442"/>
      <c r="D199" s="442"/>
      <c r="E199" s="444"/>
      <c r="F199" s="444"/>
      <c r="G199" s="444"/>
      <c r="H199" s="441"/>
      <c r="I199" s="218"/>
      <c r="J199" s="217"/>
    </row>
    <row r="200" spans="1:10" ht="15.75" customHeight="1">
      <c r="A200" s="322"/>
      <c r="B200" s="267" t="s">
        <v>2487</v>
      </c>
      <c r="C200" s="442"/>
      <c r="D200" s="442"/>
      <c r="E200" s="444"/>
      <c r="F200" s="444"/>
      <c r="G200" s="444"/>
      <c r="H200" s="441"/>
      <c r="I200" s="218"/>
      <c r="J200" s="217"/>
    </row>
    <row r="201" spans="1:10" ht="15.75" customHeight="1">
      <c r="A201" s="322"/>
      <c r="B201" s="267" t="s">
        <v>2488</v>
      </c>
      <c r="C201" s="298"/>
      <c r="D201" s="298"/>
      <c r="E201" s="444"/>
      <c r="F201" s="444"/>
      <c r="G201" s="444"/>
      <c r="H201" s="441"/>
      <c r="I201" s="218"/>
      <c r="J201" s="217"/>
    </row>
    <row r="202" spans="1:10" ht="15.75" customHeight="1">
      <c r="A202" s="55"/>
      <c r="B202" s="267" t="s">
        <v>2489</v>
      </c>
      <c r="C202" s="298"/>
      <c r="D202" s="298"/>
      <c r="E202" s="298"/>
      <c r="F202" s="298"/>
      <c r="G202" s="55"/>
      <c r="H202" s="55"/>
    </row>
    <row r="203" spans="1:10" ht="53.25" customHeight="1">
      <c r="A203" s="55"/>
      <c r="B203" s="1798" t="s">
        <v>2490</v>
      </c>
      <c r="C203" s="1799"/>
      <c r="D203" s="1799"/>
      <c r="E203" s="1799"/>
      <c r="F203" s="1799"/>
      <c r="G203" s="55"/>
      <c r="H203" s="55"/>
    </row>
    <row r="204" spans="1:10" ht="15.75" customHeight="1">
      <c r="A204" s="55"/>
      <c r="B204" s="267" t="s">
        <v>2491</v>
      </c>
      <c r="C204" s="298"/>
      <c r="D204" s="298"/>
      <c r="E204" s="298"/>
      <c r="F204" s="298"/>
      <c r="G204" s="55"/>
      <c r="H204" s="55"/>
    </row>
  </sheetData>
  <sheetProtection sheet="1" objects="1" scenarios="1"/>
  <mergeCells count="9">
    <mergeCell ref="A1:H1"/>
    <mergeCell ref="A2:H2"/>
    <mergeCell ref="A159:H159"/>
    <mergeCell ref="A160:H160"/>
    <mergeCell ref="B203:F203"/>
    <mergeCell ref="A68:H68"/>
    <mergeCell ref="A69:H69"/>
    <mergeCell ref="A139:H139"/>
    <mergeCell ref="A140:H140"/>
  </mergeCells>
  <phoneticPr fontId="0" type="noConversion"/>
  <printOptions horizontalCentered="1"/>
  <pageMargins left="0.25" right="0.25" top="0.8" bottom="1" header="0.5" footer="0.5"/>
  <pageSetup scale="46" orientation="portrait" r:id="rId1"/>
  <headerFooter alignWithMargins="0">
    <oddHeader>&amp;C&amp;"Times New Roman,Bold"&amp;16ATTACHMENT D, Page &amp;P of &amp;N
EVERGY</oddHeader>
    <oddFooter>&amp;R&amp;1#&amp;"Calibri"&amp;10&amp;KA80000Internal Use Only</oddFooter>
  </headerFooter>
  <rowBreaks count="3" manualBreakCount="3">
    <brk id="67" max="7" man="1"/>
    <brk id="138" max="16383" man="1"/>
    <brk id="158" max="7"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G54"/>
  <sheetViews>
    <sheetView view="pageBreakPreview" zoomScale="90" zoomScaleNormal="100" zoomScaleSheetLayoutView="90" workbookViewId="0">
      <selection sqref="A1:G1"/>
    </sheetView>
  </sheetViews>
  <sheetFormatPr defaultRowHeight="13.2"/>
  <cols>
    <col min="1" max="1" width="6.5546875" style="39" customWidth="1"/>
    <col min="2" max="2" width="1.88671875" style="39" customWidth="1"/>
    <col min="3" max="3" width="6.44140625" customWidth="1"/>
    <col min="4" max="4" width="24.5546875" customWidth="1"/>
    <col min="5" max="5" width="20.6640625" customWidth="1"/>
    <col min="6" max="6" width="26.5546875" customWidth="1"/>
    <col min="7" max="7" width="20.6640625" customWidth="1"/>
  </cols>
  <sheetData>
    <row r="1" spans="1:7" ht="21">
      <c r="A1" s="1713" t="s">
        <v>591</v>
      </c>
      <c r="B1" s="1713"/>
      <c r="C1" s="1790"/>
      <c r="D1" s="1790"/>
      <c r="E1" s="1790"/>
      <c r="F1" s="1790"/>
      <c r="G1" s="1790"/>
    </row>
    <row r="2" spans="1:7" ht="19.2">
      <c r="A2" s="1725" t="str">
        <f>' Net Monthly Bill'!A2:B2</f>
        <v>For Contract Year Beginning June 1, 2024, Based on 2023 Data</v>
      </c>
      <c r="B2" s="1725"/>
      <c r="C2" s="1725"/>
      <c r="D2" s="1725"/>
      <c r="E2" s="1725"/>
      <c r="F2" s="1725"/>
      <c r="G2" s="1725"/>
    </row>
    <row r="3" spans="1:7" ht="15.6">
      <c r="A3" s="834"/>
      <c r="B3" s="702"/>
      <c r="C3" s="642"/>
      <c r="D3" s="642"/>
      <c r="E3" s="642"/>
      <c r="F3" s="642"/>
      <c r="G3" s="960"/>
    </row>
    <row r="4" spans="1:7" ht="15.6">
      <c r="A4" s="687" t="s">
        <v>494</v>
      </c>
      <c r="B4" s="734"/>
      <c r="C4" s="726" t="s">
        <v>1906</v>
      </c>
      <c r="D4" s="642"/>
      <c r="E4" s="642"/>
      <c r="F4" s="642"/>
      <c r="G4" s="687" t="s">
        <v>1415</v>
      </c>
    </row>
    <row r="5" spans="1:7" ht="15.6">
      <c r="A5" s="702">
        <v>1</v>
      </c>
      <c r="B5" s="702"/>
      <c r="C5" s="960"/>
      <c r="D5" s="961" t="s">
        <v>962</v>
      </c>
      <c r="E5" s="642"/>
      <c r="F5" s="642"/>
      <c r="G5" s="642"/>
    </row>
    <row r="6" spans="1:7" ht="15.6">
      <c r="A6" s="702">
        <v>2</v>
      </c>
      <c r="B6" s="702"/>
      <c r="C6" s="960"/>
      <c r="D6" s="961" t="s">
        <v>963</v>
      </c>
      <c r="E6" s="642"/>
      <c r="F6" s="642"/>
      <c r="G6" s="584">
        <v>0</v>
      </c>
    </row>
    <row r="7" spans="1:7" ht="15.6">
      <c r="A7" s="702">
        <v>3</v>
      </c>
      <c r="B7" s="702"/>
      <c r="C7" s="960"/>
      <c r="D7" s="962" t="s">
        <v>471</v>
      </c>
      <c r="E7" s="642"/>
      <c r="F7" s="642"/>
      <c r="G7" s="963">
        <v>0.09</v>
      </c>
    </row>
    <row r="8" spans="1:7" ht="16.2" thickBot="1">
      <c r="A8" s="702">
        <v>4</v>
      </c>
      <c r="B8" s="702"/>
      <c r="C8" s="960"/>
      <c r="D8" s="962" t="s">
        <v>946</v>
      </c>
      <c r="E8" s="642"/>
      <c r="F8" s="642"/>
      <c r="G8" s="745">
        <f>G6*G7</f>
        <v>0</v>
      </c>
    </row>
    <row r="9" spans="1:7" ht="16.2" thickTop="1">
      <c r="A9" s="702">
        <v>5</v>
      </c>
      <c r="B9" s="702"/>
      <c r="C9" s="964" t="s">
        <v>2288</v>
      </c>
      <c r="D9" s="965"/>
      <c r="E9" s="704"/>
      <c r="F9" s="642"/>
      <c r="G9" s="966"/>
    </row>
    <row r="10" spans="1:7" ht="15.6">
      <c r="A10" s="702">
        <v>6</v>
      </c>
      <c r="B10" s="702"/>
      <c r="C10" s="964" t="s">
        <v>2289</v>
      </c>
      <c r="D10" s="642"/>
      <c r="E10" s="642"/>
      <c r="F10" s="642"/>
      <c r="G10" s="966"/>
    </row>
    <row r="11" spans="1:7" ht="15.6">
      <c r="A11" s="702">
        <v>7</v>
      </c>
      <c r="B11" s="702"/>
      <c r="C11" s="726" t="s">
        <v>1907</v>
      </c>
      <c r="D11" s="642"/>
      <c r="E11" s="642"/>
      <c r="F11" s="642"/>
      <c r="G11" s="642"/>
    </row>
    <row r="12" spans="1:7" ht="15.6">
      <c r="A12" s="702">
        <v>8</v>
      </c>
      <c r="B12" s="702"/>
      <c r="C12" s="960"/>
      <c r="D12" s="961" t="s">
        <v>964</v>
      </c>
      <c r="E12" s="642"/>
      <c r="F12" s="642"/>
      <c r="G12" s="642"/>
    </row>
    <row r="13" spans="1:7" ht="15.6">
      <c r="A13" s="702">
        <v>9</v>
      </c>
      <c r="B13" s="702"/>
      <c r="C13" s="960"/>
      <c r="D13" s="642" t="s">
        <v>249</v>
      </c>
      <c r="E13" s="642"/>
      <c r="F13" s="642"/>
      <c r="G13" s="582">
        <v>0</v>
      </c>
    </row>
    <row r="14" spans="1:7" ht="15.6">
      <c r="A14" s="702">
        <v>10</v>
      </c>
      <c r="B14" s="702"/>
      <c r="C14" s="960"/>
      <c r="D14" s="962" t="s">
        <v>471</v>
      </c>
      <c r="E14" s="642"/>
      <c r="F14" s="642"/>
      <c r="G14" s="963">
        <v>0.5</v>
      </c>
    </row>
    <row r="15" spans="1:7" ht="16.2" thickBot="1">
      <c r="A15" s="702">
        <v>11</v>
      </c>
      <c r="B15" s="702"/>
      <c r="C15" s="960"/>
      <c r="D15" s="962" t="s">
        <v>946</v>
      </c>
      <c r="E15" s="642"/>
      <c r="F15" s="642"/>
      <c r="G15" s="967">
        <f>G13*G14</f>
        <v>0</v>
      </c>
    </row>
    <row r="16" spans="1:7" ht="16.2" thickTop="1">
      <c r="A16" s="702">
        <v>12</v>
      </c>
      <c r="B16" s="702"/>
      <c r="C16" s="964" t="s">
        <v>2290</v>
      </c>
      <c r="D16" s="965"/>
      <c r="E16" s="704"/>
      <c r="F16" s="642"/>
      <c r="G16" s="966"/>
    </row>
    <row r="17" spans="1:7" ht="15.6">
      <c r="A17" s="702">
        <v>13</v>
      </c>
      <c r="B17" s="702"/>
      <c r="C17" s="964" t="s">
        <v>2291</v>
      </c>
      <c r="D17" s="642"/>
      <c r="E17" s="642"/>
      <c r="F17" s="642"/>
      <c r="G17" s="966"/>
    </row>
    <row r="18" spans="1:7" ht="15.6">
      <c r="A18" s="702">
        <v>14</v>
      </c>
      <c r="B18" s="702"/>
      <c r="C18" s="968" t="s">
        <v>1908</v>
      </c>
      <c r="D18" s="642"/>
      <c r="E18" s="642"/>
      <c r="F18" s="642"/>
      <c r="G18" s="966"/>
    </row>
    <row r="19" spans="1:7" ht="15.6">
      <c r="A19" s="702">
        <v>15</v>
      </c>
      <c r="B19" s="702"/>
      <c r="C19" s="960"/>
      <c r="D19" s="962" t="s">
        <v>947</v>
      </c>
      <c r="E19" s="642"/>
      <c r="F19" s="642"/>
      <c r="G19" s="582">
        <v>0</v>
      </c>
    </row>
    <row r="20" spans="1:7" ht="15.6">
      <c r="A20" s="702">
        <v>16</v>
      </c>
      <c r="B20" s="702"/>
      <c r="C20" s="960"/>
      <c r="D20" s="962" t="s">
        <v>948</v>
      </c>
      <c r="E20" s="642"/>
      <c r="F20" s="642"/>
      <c r="G20" s="583">
        <v>0</v>
      </c>
    </row>
    <row r="21" spans="1:7" ht="15.6">
      <c r="A21" s="702">
        <v>17</v>
      </c>
      <c r="B21" s="702"/>
      <c r="C21" s="960"/>
      <c r="D21" s="962" t="s">
        <v>949</v>
      </c>
      <c r="E21" s="642"/>
      <c r="F21" s="642"/>
      <c r="G21" s="969">
        <f>G19+G20</f>
        <v>0</v>
      </c>
    </row>
    <row r="22" spans="1:7" ht="15.6">
      <c r="A22" s="702">
        <v>18</v>
      </c>
      <c r="B22" s="702"/>
      <c r="C22" s="962"/>
      <c r="D22" s="642"/>
      <c r="E22" s="642"/>
      <c r="F22" s="642"/>
      <c r="G22" s="970"/>
    </row>
    <row r="23" spans="1:7" ht="15.6">
      <c r="A23" s="702">
        <v>19</v>
      </c>
      <c r="B23" s="702"/>
      <c r="C23" s="960"/>
      <c r="D23" s="962" t="s">
        <v>950</v>
      </c>
      <c r="E23" s="642"/>
      <c r="F23" s="642"/>
      <c r="G23" s="584">
        <v>0</v>
      </c>
    </row>
    <row r="24" spans="1:7" ht="15.6">
      <c r="A24" s="702">
        <v>20</v>
      </c>
      <c r="B24" s="702"/>
      <c r="C24" s="960"/>
      <c r="D24" s="962" t="s">
        <v>951</v>
      </c>
      <c r="E24" s="642"/>
      <c r="F24" s="642"/>
      <c r="G24" s="584">
        <v>0</v>
      </c>
    </row>
    <row r="25" spans="1:7" ht="15.6">
      <c r="A25" s="702">
        <v>21</v>
      </c>
      <c r="B25" s="702"/>
      <c r="C25" s="960"/>
      <c r="D25" s="962" t="s">
        <v>952</v>
      </c>
      <c r="E25" s="642"/>
      <c r="F25" s="642"/>
      <c r="G25" s="584">
        <v>0</v>
      </c>
    </row>
    <row r="26" spans="1:7" ht="15.6">
      <c r="A26" s="702">
        <v>22</v>
      </c>
      <c r="B26" s="702"/>
      <c r="C26" s="960"/>
      <c r="D26" s="962" t="s">
        <v>953</v>
      </c>
      <c r="E26" s="642"/>
      <c r="F26" s="642"/>
      <c r="G26" s="585">
        <v>0</v>
      </c>
    </row>
    <row r="27" spans="1:7" ht="15.6">
      <c r="A27" s="702">
        <v>23</v>
      </c>
      <c r="B27" s="702"/>
      <c r="C27" s="960"/>
      <c r="D27" s="962" t="s">
        <v>954</v>
      </c>
      <c r="E27" s="642"/>
      <c r="F27" s="642"/>
      <c r="G27" s="971">
        <f>SUM(G23:G26)</f>
        <v>0</v>
      </c>
    </row>
    <row r="28" spans="1:7" ht="15.6">
      <c r="A28" s="702">
        <v>24</v>
      </c>
      <c r="B28" s="702"/>
      <c r="C28" s="962"/>
      <c r="D28" s="642"/>
      <c r="E28" s="642"/>
      <c r="F28" s="642"/>
      <c r="G28" s="970"/>
    </row>
    <row r="29" spans="1:7" ht="15.6">
      <c r="A29" s="702">
        <v>25</v>
      </c>
      <c r="B29" s="702"/>
      <c r="C29" s="960"/>
      <c r="D29" s="962" t="s">
        <v>955</v>
      </c>
      <c r="E29" s="642"/>
      <c r="F29" s="642"/>
      <c r="G29" s="970">
        <f>G21+G27</f>
        <v>0</v>
      </c>
    </row>
    <row r="30" spans="1:7" ht="15.6">
      <c r="A30" s="702">
        <v>26</v>
      </c>
      <c r="B30" s="702"/>
      <c r="C30" s="960"/>
      <c r="D30" s="962" t="s">
        <v>956</v>
      </c>
      <c r="E30" s="642"/>
      <c r="F30" s="642"/>
      <c r="G30" s="585">
        <v>0</v>
      </c>
    </row>
    <row r="31" spans="1:7" ht="15.6">
      <c r="A31" s="702">
        <v>27</v>
      </c>
      <c r="B31" s="702"/>
      <c r="C31" s="960"/>
      <c r="D31" s="962" t="s">
        <v>957</v>
      </c>
      <c r="E31" s="642"/>
      <c r="F31" s="642"/>
      <c r="G31" s="970">
        <f>SUM(G29:G30)</f>
        <v>0</v>
      </c>
    </row>
    <row r="32" spans="1:7" ht="15.6">
      <c r="A32" s="702">
        <v>28</v>
      </c>
      <c r="B32" s="702"/>
      <c r="C32" s="960"/>
      <c r="D32" s="962" t="s">
        <v>958</v>
      </c>
      <c r="E32" s="642"/>
      <c r="F32" s="642"/>
      <c r="G32" s="585">
        <v>0</v>
      </c>
    </row>
    <row r="33" spans="1:7" ht="15.6">
      <c r="A33" s="702">
        <v>29</v>
      </c>
      <c r="B33" s="702"/>
      <c r="C33" s="960"/>
      <c r="D33" s="962" t="s">
        <v>959</v>
      </c>
      <c r="E33" s="642"/>
      <c r="F33" s="642"/>
      <c r="G33" s="970">
        <f>G31+G32</f>
        <v>0</v>
      </c>
    </row>
    <row r="34" spans="1:7" ht="15.6">
      <c r="A34" s="702">
        <v>30</v>
      </c>
      <c r="B34" s="702"/>
      <c r="C34" s="960"/>
      <c r="D34" s="962" t="s">
        <v>960</v>
      </c>
      <c r="E34" s="642"/>
      <c r="F34" s="642"/>
      <c r="G34" s="585">
        <v>0</v>
      </c>
    </row>
    <row r="35" spans="1:7" ht="15.6">
      <c r="A35" s="702">
        <v>31</v>
      </c>
      <c r="B35" s="702"/>
      <c r="C35" s="960"/>
      <c r="D35" s="962" t="s">
        <v>961</v>
      </c>
      <c r="E35" s="642"/>
      <c r="F35" s="642"/>
      <c r="G35" s="683">
        <f>G33+G34</f>
        <v>0</v>
      </c>
    </row>
    <row r="36" spans="1:7" ht="15.6">
      <c r="A36" s="702">
        <v>32</v>
      </c>
      <c r="B36" s="702"/>
      <c r="C36" s="960"/>
      <c r="D36" s="962" t="s">
        <v>471</v>
      </c>
      <c r="E36" s="642"/>
      <c r="F36" s="642"/>
      <c r="G36" s="963">
        <v>0.09</v>
      </c>
    </row>
    <row r="37" spans="1:7" ht="16.2" thickBot="1">
      <c r="A37" s="702">
        <v>33</v>
      </c>
      <c r="B37" s="702"/>
      <c r="C37" s="960"/>
      <c r="D37" s="962" t="s">
        <v>946</v>
      </c>
      <c r="E37" s="642"/>
      <c r="F37" s="642"/>
      <c r="G37" s="967">
        <f>IF((G35*G36)&lt;0,0,G35*G36)</f>
        <v>0</v>
      </c>
    </row>
    <row r="38" spans="1:7" ht="16.2" thickTop="1">
      <c r="A38" s="702">
        <v>34</v>
      </c>
      <c r="B38" s="702"/>
      <c r="C38" s="962"/>
      <c r="D38" s="642"/>
      <c r="E38" s="642"/>
      <c r="F38" s="642"/>
      <c r="G38" s="642"/>
    </row>
    <row r="39" spans="1:7" ht="15.6">
      <c r="A39" s="702">
        <v>35</v>
      </c>
      <c r="B39" s="702"/>
      <c r="C39" s="642"/>
      <c r="D39" s="642"/>
      <c r="E39" s="642"/>
      <c r="F39" s="642"/>
      <c r="G39" s="642"/>
    </row>
    <row r="40" spans="1:7" ht="16.2" thickBot="1">
      <c r="A40" s="702">
        <v>36</v>
      </c>
      <c r="B40" s="702"/>
      <c r="C40" s="730" t="s">
        <v>1909</v>
      </c>
      <c r="D40" s="730"/>
      <c r="E40" s="730"/>
      <c r="F40" s="730"/>
      <c r="G40" s="745">
        <f>MIN(G8,G15,G37)</f>
        <v>0</v>
      </c>
    </row>
    <row r="41" spans="1:7" ht="16.2" thickTop="1">
      <c r="A41" s="702">
        <v>37</v>
      </c>
      <c r="B41" s="702"/>
      <c r="C41" s="642"/>
      <c r="D41" s="642"/>
      <c r="E41" s="642"/>
      <c r="F41" s="642"/>
      <c r="G41" s="642"/>
    </row>
    <row r="42" spans="1:7" ht="15.6">
      <c r="A42" s="702">
        <v>38</v>
      </c>
      <c r="B42" s="702"/>
      <c r="C42" s="642"/>
      <c r="D42" s="642"/>
      <c r="E42" s="642"/>
      <c r="F42" s="642"/>
      <c r="G42" s="642"/>
    </row>
    <row r="43" spans="1:7" ht="15.6">
      <c r="A43" s="702">
        <v>39</v>
      </c>
      <c r="B43" s="702"/>
      <c r="C43" s="642"/>
      <c r="D43" s="642"/>
      <c r="E43" s="702" t="s">
        <v>471</v>
      </c>
      <c r="F43" s="702" t="s">
        <v>250</v>
      </c>
      <c r="G43" s="702" t="s">
        <v>251</v>
      </c>
    </row>
    <row r="44" spans="1:7" ht="15.6">
      <c r="A44" s="702">
        <v>40</v>
      </c>
      <c r="B44" s="702"/>
      <c r="C44" s="642"/>
      <c r="D44" s="642"/>
      <c r="E44" s="702" t="s">
        <v>252</v>
      </c>
      <c r="F44" s="702" t="s">
        <v>251</v>
      </c>
      <c r="G44" s="702" t="s">
        <v>253</v>
      </c>
    </row>
    <row r="45" spans="1:7" ht="15.6">
      <c r="A45" s="702">
        <v>41</v>
      </c>
      <c r="B45" s="702"/>
      <c r="C45" s="642" t="s">
        <v>254</v>
      </c>
      <c r="D45" s="642"/>
      <c r="E45" s="687" t="s">
        <v>255</v>
      </c>
      <c r="F45" s="687" t="s">
        <v>253</v>
      </c>
      <c r="G45" s="687" t="s">
        <v>256</v>
      </c>
    </row>
    <row r="46" spans="1:7" ht="15.6">
      <c r="A46" s="702">
        <v>42</v>
      </c>
      <c r="B46" s="702"/>
      <c r="C46" s="642"/>
      <c r="D46" s="642"/>
      <c r="E46" s="919"/>
      <c r="F46" s="919"/>
      <c r="G46" s="919"/>
    </row>
    <row r="47" spans="1:7" ht="15.6">
      <c r="A47" s="702">
        <v>43</v>
      </c>
      <c r="B47" s="702"/>
      <c r="C47" s="642" t="s">
        <v>2879</v>
      </c>
      <c r="D47" s="642"/>
      <c r="E47" s="586">
        <v>0</v>
      </c>
      <c r="F47" s="683">
        <f>G40</f>
        <v>0</v>
      </c>
      <c r="G47" s="972">
        <f>E47*F47</f>
        <v>0</v>
      </c>
    </row>
    <row r="48" spans="1:7" ht="15.6">
      <c r="A48" s="702">
        <v>44</v>
      </c>
      <c r="B48" s="702"/>
      <c r="C48" s="642" t="s">
        <v>2880</v>
      </c>
      <c r="D48" s="642"/>
      <c r="E48" s="586">
        <v>0</v>
      </c>
      <c r="F48" s="683">
        <f>G40</f>
        <v>0</v>
      </c>
      <c r="G48" s="970">
        <f>E48*F48</f>
        <v>0</v>
      </c>
    </row>
    <row r="49" spans="1:7" ht="15.6">
      <c r="A49" s="702">
        <v>45</v>
      </c>
      <c r="B49" s="702"/>
      <c r="C49" s="642" t="s">
        <v>1605</v>
      </c>
      <c r="D49" s="642"/>
      <c r="E49" s="973"/>
      <c r="F49" s="970"/>
      <c r="G49" s="974">
        <f>SUM(G47:G48)</f>
        <v>0</v>
      </c>
    </row>
    <row r="50" spans="1:7" ht="15.6">
      <c r="A50" s="702">
        <v>46</v>
      </c>
      <c r="B50" s="702"/>
      <c r="C50" s="642" t="s">
        <v>3036</v>
      </c>
      <c r="D50" s="642"/>
      <c r="E50" s="587">
        <v>0</v>
      </c>
      <c r="F50" s="737">
        <f>G40</f>
        <v>0</v>
      </c>
      <c r="G50" s="975">
        <f>E50*F50</f>
        <v>0</v>
      </c>
    </row>
    <row r="51" spans="1:7" ht="16.2" thickBot="1">
      <c r="A51" s="702">
        <v>47</v>
      </c>
      <c r="B51" s="702"/>
      <c r="C51" s="642" t="s">
        <v>468</v>
      </c>
      <c r="D51" s="642"/>
      <c r="E51" s="976">
        <f>+E47+E48+E50</f>
        <v>0</v>
      </c>
      <c r="F51" s="642"/>
      <c r="G51" s="967">
        <f>G47+G48+G50</f>
        <v>0</v>
      </c>
    </row>
    <row r="52" spans="1:7" ht="16.2" thickTop="1">
      <c r="A52" s="702"/>
      <c r="B52" s="702"/>
      <c r="C52" s="642"/>
      <c r="D52" s="642"/>
      <c r="E52" s="977"/>
      <c r="F52" s="642"/>
      <c r="G52" s="966"/>
    </row>
    <row r="53" spans="1:7" ht="15.6">
      <c r="A53" s="702"/>
      <c r="B53" s="702"/>
      <c r="C53" s="642" t="s">
        <v>2252</v>
      </c>
      <c r="D53" s="642"/>
      <c r="E53" s="642"/>
      <c r="F53" s="642"/>
      <c r="G53" s="642"/>
    </row>
    <row r="54" spans="1:7" ht="15.6">
      <c r="A54" s="702"/>
      <c r="B54" s="702"/>
      <c r="C54" s="642" t="s">
        <v>2332</v>
      </c>
      <c r="D54" s="642"/>
      <c r="E54" s="642"/>
      <c r="F54" s="642"/>
      <c r="G54" s="642"/>
    </row>
  </sheetData>
  <sheetProtection sheet="1"/>
  <mergeCells count="2">
    <mergeCell ref="A1:G1"/>
    <mergeCell ref="A2:G2"/>
  </mergeCells>
  <printOptions horizontalCentered="1"/>
  <pageMargins left="0.75" right="0.5" top="1.43" bottom="1" header="1" footer="0.5"/>
  <pageSetup scale="77" orientation="portrait" r:id="rId1"/>
  <headerFooter alignWithMargins="0">
    <oddHeader>&amp;C&amp;"Times New Roman,Bold"&amp;16ATTACHMENT D, Page &amp;P of &amp;N
EVERGY</oddHeader>
    <oddFooter>&amp;R&amp;1#&amp;"Calibri"&amp;10&amp;KA80000Internal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265"/>
  <sheetViews>
    <sheetView view="pageBreakPreview" zoomScale="90" zoomScaleNormal="100" zoomScaleSheetLayoutView="90" workbookViewId="0">
      <selection sqref="A1:H1"/>
    </sheetView>
  </sheetViews>
  <sheetFormatPr defaultColWidth="8.88671875" defaultRowHeight="13.2"/>
  <cols>
    <col min="1" max="1" width="4.88671875" style="474" bestFit="1" customWidth="1"/>
    <col min="2" max="2" width="59.6640625" style="449" customWidth="1"/>
    <col min="3" max="3" width="31.109375" style="449" customWidth="1"/>
    <col min="4" max="4" width="21.109375" style="449" bestFit="1" customWidth="1"/>
    <col min="5" max="5" width="24.6640625" style="449" bestFit="1" customWidth="1"/>
    <col min="6" max="6" width="1.44140625" style="449" customWidth="1"/>
    <col min="7" max="7" width="21.109375" style="449" bestFit="1" customWidth="1"/>
    <col min="8" max="8" width="24.6640625" style="449" bestFit="1" customWidth="1"/>
    <col min="9" max="9" width="12.88671875" style="449" customWidth="1"/>
    <col min="10" max="10" width="10.33203125" style="449" customWidth="1"/>
    <col min="11" max="16384" width="8.88671875" style="449"/>
  </cols>
  <sheetData>
    <row r="1" spans="1:11" ht="17.399999999999999">
      <c r="A1" s="1693" t="s">
        <v>1967</v>
      </c>
      <c r="B1" s="1693"/>
      <c r="C1" s="1693"/>
      <c r="D1" s="1693"/>
      <c r="E1" s="1693"/>
      <c r="F1" s="1693"/>
      <c r="G1" s="1693"/>
      <c r="H1" s="1693"/>
      <c r="I1" s="447"/>
      <c r="J1" s="447"/>
      <c r="K1" s="448"/>
    </row>
    <row r="2" spans="1:11" ht="18">
      <c r="A2" s="1694" t="str">
        <f>' Net Monthly Bill'!A2:B2</f>
        <v>For Contract Year Beginning June 1, 2024, Based on 2023 Data</v>
      </c>
      <c r="B2" s="1694"/>
      <c r="C2" s="1694"/>
      <c r="D2" s="1694"/>
      <c r="E2" s="1694"/>
      <c r="F2" s="1694"/>
      <c r="G2" s="1694"/>
      <c r="H2" s="1694"/>
      <c r="I2" s="451"/>
      <c r="J2" s="451"/>
      <c r="K2" s="452"/>
    </row>
    <row r="3" spans="1:11" ht="18">
      <c r="A3" s="1695"/>
      <c r="B3" s="1695"/>
      <c r="C3" s="1695"/>
      <c r="D3" s="1695"/>
      <c r="E3" s="1695"/>
      <c r="F3" s="450"/>
      <c r="G3" s="453"/>
      <c r="H3" s="453"/>
      <c r="I3" s="453"/>
      <c r="J3" s="453"/>
      <c r="K3" s="453"/>
    </row>
    <row r="4" spans="1:11" s="455" customFormat="1" ht="17.399999999999999">
      <c r="A4" s="454"/>
      <c r="D4" s="479" t="s">
        <v>2292</v>
      </c>
      <c r="E4" s="639">
        <v>12</v>
      </c>
      <c r="F4" s="450"/>
      <c r="G4" s="479" t="s">
        <v>2293</v>
      </c>
      <c r="H4" s="639">
        <v>0</v>
      </c>
    </row>
    <row r="5" spans="1:11" s="455" customFormat="1" ht="31.2">
      <c r="A5" s="456" t="s">
        <v>494</v>
      </c>
      <c r="B5" s="456" t="s">
        <v>486</v>
      </c>
      <c r="C5" s="457" t="s">
        <v>1968</v>
      </c>
      <c r="D5" s="391" t="s">
        <v>2879</v>
      </c>
      <c r="E5" s="391" t="s">
        <v>2880</v>
      </c>
      <c r="F5" s="450"/>
      <c r="G5" s="391" t="s">
        <v>2879</v>
      </c>
      <c r="H5" s="391" t="s">
        <v>2880</v>
      </c>
    </row>
    <row r="6" spans="1:11" s="455" customFormat="1" ht="15.6">
      <c r="A6" s="458">
        <v>1</v>
      </c>
      <c r="B6" s="459" t="s">
        <v>1969</v>
      </c>
      <c r="C6" s="460" t="s">
        <v>1970</v>
      </c>
      <c r="D6" s="1240"/>
      <c r="E6" s="1240"/>
      <c r="F6" s="475"/>
      <c r="G6" s="475">
        <v>100963886</v>
      </c>
      <c r="H6" s="475">
        <v>36809037</v>
      </c>
    </row>
    <row r="7" spans="1:11" s="455" customFormat="1" ht="15.6">
      <c r="A7" s="458">
        <v>2</v>
      </c>
      <c r="B7" s="459" t="s">
        <v>1971</v>
      </c>
      <c r="C7" s="460" t="s">
        <v>1972</v>
      </c>
      <c r="D7" s="1240"/>
      <c r="E7" s="1240"/>
      <c r="F7" s="475"/>
      <c r="G7" s="475">
        <v>62307125</v>
      </c>
      <c r="H7" s="475">
        <v>29716613</v>
      </c>
    </row>
    <row r="8" spans="1:11" ht="15.6">
      <c r="A8" s="458">
        <v>3</v>
      </c>
      <c r="B8" s="459" t="s">
        <v>1973</v>
      </c>
      <c r="C8" s="461" t="s">
        <v>1974</v>
      </c>
      <c r="D8" s="1240"/>
      <c r="E8" s="1240"/>
      <c r="F8" s="475"/>
      <c r="G8" s="475">
        <v>12332017</v>
      </c>
      <c r="H8" s="475">
        <v>9375194</v>
      </c>
    </row>
    <row r="9" spans="1:11" ht="15.6">
      <c r="A9" s="458">
        <v>4</v>
      </c>
      <c r="B9" s="459" t="s">
        <v>1975</v>
      </c>
      <c r="C9" s="461" t="s">
        <v>1976</v>
      </c>
      <c r="D9" s="1240"/>
      <c r="E9" s="1240"/>
      <c r="F9" s="475"/>
      <c r="G9" s="475">
        <v>8649919</v>
      </c>
      <c r="H9" s="475">
        <v>10068825</v>
      </c>
      <c r="I9" s="462"/>
    </row>
    <row r="10" spans="1:11" ht="15.6">
      <c r="A10" s="458">
        <v>5</v>
      </c>
      <c r="B10" s="459" t="s">
        <v>1977</v>
      </c>
      <c r="C10" s="461" t="s">
        <v>1978</v>
      </c>
      <c r="D10" s="1240"/>
      <c r="E10" s="1240"/>
      <c r="F10" s="475"/>
      <c r="G10" s="475">
        <v>0</v>
      </c>
      <c r="H10" s="475">
        <v>0</v>
      </c>
      <c r="K10" s="455"/>
    </row>
    <row r="11" spans="1:11" ht="15.6">
      <c r="A11" s="458">
        <v>6</v>
      </c>
      <c r="B11" s="463" t="s">
        <v>1979</v>
      </c>
      <c r="C11" s="461" t="s">
        <v>1980</v>
      </c>
      <c r="D11" s="1240"/>
      <c r="E11" s="1240"/>
      <c r="F11" s="475"/>
      <c r="G11" s="475">
        <v>783927139</v>
      </c>
      <c r="H11" s="475">
        <v>0</v>
      </c>
      <c r="K11" s="455"/>
    </row>
    <row r="12" spans="1:11" ht="15.6">
      <c r="A12" s="458">
        <v>7</v>
      </c>
      <c r="B12" s="463" t="s">
        <v>1981</v>
      </c>
      <c r="C12" s="461" t="s">
        <v>1982</v>
      </c>
      <c r="D12" s="1240"/>
      <c r="E12" s="1240"/>
      <c r="F12" s="475"/>
      <c r="G12" s="475">
        <v>0</v>
      </c>
      <c r="H12" s="475">
        <v>0</v>
      </c>
      <c r="K12" s="455"/>
    </row>
    <row r="13" spans="1:11" ht="15.6">
      <c r="A13" s="458">
        <v>8</v>
      </c>
      <c r="B13" s="463" t="s">
        <v>1983</v>
      </c>
      <c r="C13" s="464" t="s">
        <v>1984</v>
      </c>
      <c r="D13" s="1240"/>
      <c r="E13" s="1240"/>
      <c r="F13" s="475"/>
      <c r="G13" s="475">
        <v>4914419635</v>
      </c>
      <c r="H13" s="475">
        <v>3585472489</v>
      </c>
      <c r="K13" s="455"/>
    </row>
    <row r="14" spans="1:11" ht="15.6">
      <c r="A14" s="458">
        <v>9</v>
      </c>
      <c r="B14" s="465" t="s">
        <v>1985</v>
      </c>
      <c r="C14" s="454" t="s">
        <v>1986</v>
      </c>
      <c r="D14" s="1240"/>
      <c r="E14" s="1240"/>
      <c r="F14" s="475"/>
      <c r="G14" s="475">
        <v>4005500000</v>
      </c>
      <c r="H14" s="475">
        <v>621440000</v>
      </c>
      <c r="K14" s="455"/>
    </row>
    <row r="15" spans="1:11" ht="15.6">
      <c r="A15" s="458">
        <v>10</v>
      </c>
      <c r="B15" s="465" t="s">
        <v>1987</v>
      </c>
      <c r="C15" s="454" t="s">
        <v>1988</v>
      </c>
      <c r="D15" s="1240"/>
      <c r="E15" s="1240"/>
      <c r="F15" s="475"/>
      <c r="G15" s="475">
        <v>0</v>
      </c>
      <c r="H15" s="475">
        <v>0</v>
      </c>
    </row>
    <row r="16" spans="1:11" ht="15.6">
      <c r="A16" s="610">
        <v>11</v>
      </c>
      <c r="B16" s="465" t="s">
        <v>2340</v>
      </c>
      <c r="C16" s="464" t="s">
        <v>2989</v>
      </c>
      <c r="D16" s="1240"/>
      <c r="E16" s="1240"/>
      <c r="F16" s="475"/>
      <c r="G16" s="475">
        <v>0</v>
      </c>
      <c r="H16" s="475">
        <v>0</v>
      </c>
    </row>
    <row r="17" spans="1:8" ht="15.6">
      <c r="A17" s="458">
        <v>12</v>
      </c>
      <c r="B17" s="465" t="s">
        <v>1989</v>
      </c>
      <c r="C17" s="454" t="s">
        <v>1990</v>
      </c>
      <c r="D17" s="1240"/>
      <c r="E17" s="1240"/>
      <c r="F17" s="475"/>
      <c r="G17" s="475">
        <v>0</v>
      </c>
      <c r="H17" s="475">
        <v>0</v>
      </c>
    </row>
    <row r="18" spans="1:8" ht="15.6">
      <c r="A18" s="458">
        <v>13</v>
      </c>
      <c r="B18" s="465" t="s">
        <v>1991</v>
      </c>
      <c r="C18" s="454" t="s">
        <v>1992</v>
      </c>
      <c r="D18" s="1240"/>
      <c r="E18" s="1240"/>
      <c r="F18" s="475"/>
      <c r="G18" s="475">
        <v>0</v>
      </c>
      <c r="H18" s="475">
        <v>0</v>
      </c>
    </row>
    <row r="19" spans="1:8" ht="15.6">
      <c r="A19" s="458">
        <v>14</v>
      </c>
      <c r="B19" s="465" t="s">
        <v>1993</v>
      </c>
      <c r="C19" s="454" t="s">
        <v>1994</v>
      </c>
      <c r="D19" s="1240"/>
      <c r="E19" s="1240"/>
      <c r="F19" s="475"/>
      <c r="G19" s="475">
        <v>13771370</v>
      </c>
      <c r="H19" s="475">
        <v>432763</v>
      </c>
    </row>
    <row r="20" spans="1:8" ht="15.6">
      <c r="A20" s="458">
        <v>15</v>
      </c>
      <c r="B20" s="466" t="s">
        <v>1995</v>
      </c>
      <c r="C20" s="467" t="s">
        <v>1996</v>
      </c>
      <c r="D20" s="1240"/>
      <c r="E20" s="1240"/>
      <c r="F20" s="475"/>
      <c r="G20" s="475">
        <v>3991728630</v>
      </c>
      <c r="H20" s="475">
        <v>621007237</v>
      </c>
    </row>
    <row r="21" spans="1:8" ht="15.6">
      <c r="A21" s="458">
        <v>16</v>
      </c>
      <c r="B21" s="466" t="s">
        <v>1997</v>
      </c>
      <c r="C21" s="392" t="s">
        <v>1998</v>
      </c>
      <c r="D21" s="1240"/>
      <c r="E21" s="1240"/>
      <c r="F21" s="475"/>
      <c r="G21" s="475">
        <v>140405798</v>
      </c>
      <c r="H21" s="475">
        <v>77662367</v>
      </c>
    </row>
    <row r="22" spans="1:8" ht="15.6">
      <c r="A22" s="458">
        <v>17</v>
      </c>
      <c r="B22" s="468" t="s">
        <v>1999</v>
      </c>
      <c r="C22" s="464" t="s">
        <v>2000</v>
      </c>
      <c r="D22" s="1240"/>
      <c r="E22" s="1240"/>
      <c r="F22" s="475"/>
      <c r="G22" s="475">
        <v>140941233</v>
      </c>
      <c r="H22" s="475">
        <v>32802701</v>
      </c>
    </row>
    <row r="23" spans="1:8" ht="15.6">
      <c r="A23" s="458">
        <v>18</v>
      </c>
      <c r="B23" s="468" t="s">
        <v>2001</v>
      </c>
      <c r="C23" s="464" t="s">
        <v>2002</v>
      </c>
      <c r="D23" s="1240"/>
      <c r="E23" s="1240"/>
      <c r="F23" s="475"/>
      <c r="G23" s="475">
        <v>4220436</v>
      </c>
      <c r="H23" s="475">
        <v>277698</v>
      </c>
    </row>
    <row r="24" spans="1:8" ht="15.6">
      <c r="A24" s="458">
        <v>19</v>
      </c>
      <c r="B24" s="468" t="s">
        <v>2003</v>
      </c>
      <c r="C24" s="464" t="s">
        <v>2004</v>
      </c>
      <c r="D24" s="1240"/>
      <c r="E24" s="1240"/>
      <c r="F24" s="475"/>
      <c r="G24" s="475">
        <v>3931240</v>
      </c>
      <c r="H24" s="475">
        <v>858356</v>
      </c>
    </row>
    <row r="25" spans="1:8" ht="15.6">
      <c r="A25" s="458">
        <v>20</v>
      </c>
      <c r="B25" s="468" t="s">
        <v>2005</v>
      </c>
      <c r="C25" s="464" t="s">
        <v>2006</v>
      </c>
      <c r="D25" s="1240"/>
      <c r="E25" s="1240"/>
      <c r="F25" s="475"/>
      <c r="G25" s="475">
        <v>0</v>
      </c>
      <c r="H25" s="475">
        <v>0</v>
      </c>
    </row>
    <row r="26" spans="1:8" ht="15.6">
      <c r="A26" s="458">
        <v>21</v>
      </c>
      <c r="B26" s="468" t="s">
        <v>2007</v>
      </c>
      <c r="C26" s="464" t="s">
        <v>2008</v>
      </c>
      <c r="D26" s="1240"/>
      <c r="E26" s="1240"/>
      <c r="F26" s="475"/>
      <c r="G26" s="475">
        <v>0</v>
      </c>
      <c r="H26" s="475">
        <v>0</v>
      </c>
    </row>
    <row r="27" spans="1:8" ht="15.6">
      <c r="A27" s="610">
        <v>22</v>
      </c>
      <c r="B27" s="465" t="s">
        <v>2341</v>
      </c>
      <c r="C27" s="464" t="s">
        <v>2990</v>
      </c>
      <c r="D27" s="1240"/>
      <c r="E27" s="1240"/>
      <c r="F27" s="475"/>
      <c r="G27" s="475">
        <v>1311096</v>
      </c>
      <c r="H27" s="475">
        <v>554795</v>
      </c>
    </row>
    <row r="28" spans="1:8" ht="15.6">
      <c r="A28" s="610">
        <v>23</v>
      </c>
      <c r="B28" s="615" t="s">
        <v>2480</v>
      </c>
      <c r="C28" s="464" t="s">
        <v>2009</v>
      </c>
      <c r="D28" s="1240"/>
      <c r="E28" s="1240"/>
      <c r="F28" s="475"/>
      <c r="G28" s="475">
        <v>0</v>
      </c>
      <c r="H28" s="475">
        <v>0</v>
      </c>
    </row>
    <row r="29" spans="1:8" ht="15.6">
      <c r="A29" s="458">
        <v>24</v>
      </c>
      <c r="B29" s="470" t="s">
        <v>2010</v>
      </c>
      <c r="C29" s="464" t="s">
        <v>2011</v>
      </c>
      <c r="D29" s="1240"/>
      <c r="E29" s="1240"/>
      <c r="F29" s="475"/>
      <c r="G29" s="475">
        <v>232491127</v>
      </c>
      <c r="H29" s="475">
        <v>73134767</v>
      </c>
    </row>
    <row r="30" spans="1:8" ht="15.6">
      <c r="A30" s="458">
        <v>25</v>
      </c>
      <c r="B30" s="470" t="s">
        <v>2303</v>
      </c>
      <c r="C30" s="464" t="s">
        <v>2302</v>
      </c>
      <c r="D30" s="1240"/>
      <c r="E30" s="1240"/>
      <c r="F30" s="475"/>
      <c r="G30" s="475">
        <v>74085359</v>
      </c>
      <c r="H30" s="475">
        <v>99116356</v>
      </c>
    </row>
    <row r="31" spans="1:8" ht="15.6">
      <c r="A31" s="458">
        <v>26</v>
      </c>
      <c r="B31" s="455" t="s">
        <v>2012</v>
      </c>
      <c r="C31" s="454" t="s">
        <v>2013</v>
      </c>
      <c r="D31" s="1240"/>
      <c r="E31" s="1240"/>
      <c r="F31" s="475"/>
      <c r="G31" s="475">
        <v>2464326843</v>
      </c>
      <c r="H31" s="475">
        <v>1745264178</v>
      </c>
    </row>
    <row r="32" spans="1:8" ht="15.6">
      <c r="A32" s="458">
        <v>27</v>
      </c>
      <c r="B32" s="455" t="s">
        <v>2307</v>
      </c>
      <c r="C32" s="454" t="s">
        <v>2304</v>
      </c>
      <c r="D32" s="1240"/>
      <c r="E32" s="1240"/>
      <c r="F32" s="475"/>
      <c r="G32" s="475">
        <v>0</v>
      </c>
      <c r="H32" s="475">
        <v>140662510</v>
      </c>
    </row>
    <row r="33" spans="1:8" ht="15.6">
      <c r="A33" s="458">
        <v>28</v>
      </c>
      <c r="B33" s="455" t="s">
        <v>2308</v>
      </c>
      <c r="C33" s="454" t="s">
        <v>2305</v>
      </c>
      <c r="D33" s="1240"/>
      <c r="E33" s="1240"/>
      <c r="F33" s="475"/>
      <c r="G33" s="475">
        <v>0</v>
      </c>
      <c r="H33" s="475">
        <v>0</v>
      </c>
    </row>
    <row r="34" spans="1:8" ht="15.6">
      <c r="A34" s="458">
        <v>29</v>
      </c>
      <c r="B34" s="455" t="s">
        <v>2309</v>
      </c>
      <c r="C34" s="454" t="s">
        <v>2306</v>
      </c>
      <c r="D34" s="1240"/>
      <c r="E34" s="1240"/>
      <c r="F34" s="475"/>
      <c r="G34" s="475">
        <v>31165847</v>
      </c>
      <c r="H34" s="475">
        <v>0</v>
      </c>
    </row>
    <row r="35" spans="1:8" ht="15.6">
      <c r="A35" s="458">
        <v>30</v>
      </c>
      <c r="B35" s="455" t="s">
        <v>2014</v>
      </c>
      <c r="C35" s="454" t="s">
        <v>2015</v>
      </c>
      <c r="D35" s="1240"/>
      <c r="E35" s="1240"/>
      <c r="F35" s="475"/>
      <c r="G35" s="475">
        <v>4141908960</v>
      </c>
      <c r="H35" s="475">
        <v>3860161376</v>
      </c>
    </row>
    <row r="36" spans="1:8" ht="15.6">
      <c r="A36" s="458">
        <v>31</v>
      </c>
      <c r="B36" s="455" t="s">
        <v>2016</v>
      </c>
      <c r="C36" s="454" t="s">
        <v>2017</v>
      </c>
      <c r="D36" s="1240"/>
      <c r="E36" s="1240"/>
      <c r="F36" s="475"/>
      <c r="G36" s="475">
        <v>372566777</v>
      </c>
      <c r="H36" s="475">
        <v>209220741</v>
      </c>
    </row>
    <row r="37" spans="1:8" ht="15.6">
      <c r="A37" s="458">
        <v>32</v>
      </c>
      <c r="B37" s="455" t="s">
        <v>2311</v>
      </c>
      <c r="C37" s="454" t="s">
        <v>2310</v>
      </c>
      <c r="D37" s="1240"/>
      <c r="E37" s="1240"/>
      <c r="F37" s="475"/>
      <c r="G37" s="475">
        <v>0</v>
      </c>
      <c r="H37" s="475">
        <v>0</v>
      </c>
    </row>
    <row r="38" spans="1:8" ht="15.6">
      <c r="A38" s="458">
        <v>33</v>
      </c>
      <c r="B38" s="455" t="s">
        <v>2018</v>
      </c>
      <c r="C38" s="454" t="s">
        <v>2019</v>
      </c>
      <c r="D38" s="1240"/>
      <c r="E38" s="1240"/>
      <c r="F38" s="475"/>
      <c r="G38" s="475">
        <v>372566777</v>
      </c>
      <c r="H38" s="475">
        <v>209220741</v>
      </c>
    </row>
    <row r="39" spans="1:8" ht="15.6">
      <c r="A39" s="458">
        <v>34</v>
      </c>
      <c r="B39" s="455" t="s">
        <v>2020</v>
      </c>
      <c r="C39" s="454" t="s">
        <v>2021</v>
      </c>
      <c r="D39" s="1240"/>
      <c r="E39" s="1240"/>
      <c r="F39" s="475"/>
      <c r="G39" s="475">
        <v>8736824042</v>
      </c>
      <c r="H39" s="475">
        <v>7520469097</v>
      </c>
    </row>
    <row r="40" spans="1:8" ht="15.6">
      <c r="A40" s="458">
        <v>35</v>
      </c>
      <c r="B40" s="455" t="s">
        <v>2022</v>
      </c>
      <c r="C40" s="454" t="s">
        <v>2023</v>
      </c>
      <c r="D40" s="1240"/>
      <c r="E40" s="1240"/>
      <c r="F40" s="475"/>
      <c r="G40" s="475">
        <v>993887804</v>
      </c>
      <c r="H40" s="475">
        <v>432210956</v>
      </c>
    </row>
    <row r="41" spans="1:8" ht="15.6">
      <c r="A41" s="458">
        <v>36</v>
      </c>
      <c r="B41" s="455" t="s">
        <v>2024</v>
      </c>
      <c r="C41" s="454" t="s">
        <v>2025</v>
      </c>
      <c r="D41" s="1240"/>
      <c r="E41" s="1240"/>
      <c r="F41" s="475"/>
      <c r="G41" s="475">
        <v>0</v>
      </c>
      <c r="H41" s="475">
        <v>1031555904</v>
      </c>
    </row>
    <row r="42" spans="1:8" ht="15.6">
      <c r="A42" s="458">
        <v>37</v>
      </c>
      <c r="B42" s="455" t="s">
        <v>2026</v>
      </c>
      <c r="C42" s="454" t="s">
        <v>2027</v>
      </c>
      <c r="D42" s="1240"/>
      <c r="E42" s="1240"/>
      <c r="F42" s="475"/>
      <c r="G42" s="475">
        <v>0</v>
      </c>
      <c r="H42" s="475">
        <v>0</v>
      </c>
    </row>
    <row r="43" spans="1:8" ht="15.6">
      <c r="A43" s="458">
        <v>38</v>
      </c>
      <c r="B43" s="455" t="s">
        <v>2028</v>
      </c>
      <c r="C43" s="454" t="s">
        <v>2029</v>
      </c>
      <c r="D43" s="1240"/>
      <c r="E43" s="1240"/>
      <c r="F43" s="475"/>
      <c r="G43" s="475">
        <v>0</v>
      </c>
      <c r="H43" s="475">
        <v>0</v>
      </c>
    </row>
    <row r="44" spans="1:8" ht="15.6">
      <c r="A44" s="458">
        <v>39</v>
      </c>
      <c r="B44" s="455" t="s">
        <v>2030</v>
      </c>
      <c r="C44" s="454" t="s">
        <v>2031</v>
      </c>
      <c r="D44" s="1240"/>
      <c r="E44" s="1240"/>
      <c r="F44" s="475"/>
      <c r="G44" s="475">
        <v>678550133</v>
      </c>
      <c r="H44" s="475">
        <v>910144</v>
      </c>
    </row>
    <row r="45" spans="1:8" ht="15.6">
      <c r="A45" s="458">
        <v>40</v>
      </c>
      <c r="B45" s="455" t="s">
        <v>2032</v>
      </c>
      <c r="C45" s="454" t="s">
        <v>2033</v>
      </c>
      <c r="D45" s="1240"/>
      <c r="E45" s="1240"/>
      <c r="F45" s="475"/>
      <c r="G45" s="475">
        <v>148254380</v>
      </c>
      <c r="H45" s="475">
        <v>95183049</v>
      </c>
    </row>
    <row r="46" spans="1:8" ht="15.6">
      <c r="A46" s="458">
        <v>41</v>
      </c>
      <c r="B46" s="455" t="s">
        <v>2225</v>
      </c>
      <c r="C46" s="454" t="s">
        <v>2226</v>
      </c>
      <c r="D46" s="1240"/>
      <c r="E46" s="1240"/>
      <c r="F46" s="475"/>
      <c r="G46" s="475">
        <v>148254380</v>
      </c>
      <c r="H46" s="475">
        <v>95183049</v>
      </c>
    </row>
    <row r="47" spans="1:8" ht="15.6">
      <c r="A47" s="458">
        <v>42</v>
      </c>
      <c r="B47" s="455" t="s">
        <v>2034</v>
      </c>
      <c r="C47" s="454" t="s">
        <v>2035</v>
      </c>
      <c r="D47" s="1240"/>
      <c r="E47" s="1240"/>
      <c r="F47" s="475"/>
      <c r="G47" s="475">
        <v>2638535682</v>
      </c>
      <c r="H47" s="475">
        <v>2330889101</v>
      </c>
    </row>
    <row r="48" spans="1:8" ht="15.6">
      <c r="A48" s="458">
        <v>43</v>
      </c>
      <c r="B48" s="455" t="s">
        <v>2036</v>
      </c>
      <c r="C48" s="454" t="s">
        <v>2037</v>
      </c>
      <c r="D48" s="1240"/>
      <c r="E48" s="1240"/>
      <c r="F48" s="475"/>
      <c r="G48" s="475">
        <v>100963886</v>
      </c>
      <c r="H48" s="475">
        <v>36809037</v>
      </c>
    </row>
    <row r="49" spans="1:8" ht="15.6">
      <c r="A49" s="458">
        <v>44</v>
      </c>
      <c r="B49" s="455" t="s">
        <v>2038</v>
      </c>
      <c r="C49" s="454" t="s">
        <v>2039</v>
      </c>
      <c r="D49" s="1240"/>
      <c r="E49" s="1240"/>
      <c r="F49" s="475"/>
      <c r="G49" s="475">
        <v>54092700</v>
      </c>
      <c r="H49" s="475">
        <v>55348705</v>
      </c>
    </row>
    <row r="50" spans="1:8" ht="15.6">
      <c r="A50" s="458">
        <v>45</v>
      </c>
      <c r="B50" s="465" t="s">
        <v>2040</v>
      </c>
      <c r="C50" s="454" t="s">
        <v>2041</v>
      </c>
      <c r="D50" s="1240"/>
      <c r="E50" s="1240"/>
      <c r="F50" s="475"/>
      <c r="G50" s="475">
        <v>83848349</v>
      </c>
      <c r="H50" s="475">
        <v>101856296</v>
      </c>
    </row>
    <row r="51" spans="1:8" ht="15.6">
      <c r="A51" s="458">
        <v>46</v>
      </c>
      <c r="B51" s="465" t="s">
        <v>2042</v>
      </c>
      <c r="C51" s="454" t="s">
        <v>2043</v>
      </c>
      <c r="D51" s="1240"/>
      <c r="E51" s="1240"/>
      <c r="F51" s="475"/>
      <c r="G51" s="475">
        <v>883990</v>
      </c>
      <c r="H51" s="475">
        <v>34155</v>
      </c>
    </row>
    <row r="52" spans="1:8" ht="15.6">
      <c r="A52" s="458">
        <v>47</v>
      </c>
      <c r="B52" s="465" t="s">
        <v>2044</v>
      </c>
      <c r="C52" s="454" t="s">
        <v>2045</v>
      </c>
      <c r="D52" s="1240"/>
      <c r="E52" s="1240"/>
      <c r="F52" s="475"/>
      <c r="G52" s="475">
        <v>2368596</v>
      </c>
      <c r="H52" s="475">
        <v>-2142891</v>
      </c>
    </row>
    <row r="53" spans="1:8" ht="15.6">
      <c r="A53" s="458">
        <v>48</v>
      </c>
      <c r="B53" s="393" t="s">
        <v>2046</v>
      </c>
      <c r="C53" s="454" t="s">
        <v>2047</v>
      </c>
      <c r="D53" s="1240"/>
      <c r="E53" s="1240"/>
      <c r="F53" s="475"/>
      <c r="G53" s="475">
        <v>500471752</v>
      </c>
      <c r="H53" s="475">
        <v>193785578</v>
      </c>
    </row>
    <row r="54" spans="1:8" ht="15.6">
      <c r="A54" s="458">
        <v>49</v>
      </c>
      <c r="B54" s="455" t="s">
        <v>2048</v>
      </c>
      <c r="C54" s="454" t="s">
        <v>2049</v>
      </c>
      <c r="D54" s="1240"/>
      <c r="E54" s="1240"/>
      <c r="F54" s="475"/>
      <c r="G54" s="475">
        <v>-22203306</v>
      </c>
      <c r="H54" s="475">
        <v>27688587</v>
      </c>
    </row>
    <row r="55" spans="1:8" ht="15.6">
      <c r="A55" s="458">
        <v>50</v>
      </c>
      <c r="B55" s="455" t="s">
        <v>2050</v>
      </c>
      <c r="C55" s="454" t="s">
        <v>2049</v>
      </c>
      <c r="D55" s="1240"/>
      <c r="E55" s="1240"/>
      <c r="F55" s="475"/>
      <c r="G55" s="475">
        <v>6021416</v>
      </c>
      <c r="H55" s="1330">
        <v>5772125</v>
      </c>
    </row>
    <row r="56" spans="1:8" ht="15.6">
      <c r="A56" s="458">
        <v>51</v>
      </c>
      <c r="B56" s="455" t="s">
        <v>2051</v>
      </c>
      <c r="C56" s="454" t="s">
        <v>2049</v>
      </c>
      <c r="D56" s="1240"/>
      <c r="E56" s="1240"/>
      <c r="F56" s="475"/>
      <c r="G56" s="475">
        <v>88040</v>
      </c>
      <c r="H56" s="475">
        <v>16628</v>
      </c>
    </row>
    <row r="57" spans="1:8" ht="15.6">
      <c r="A57" s="458">
        <v>52</v>
      </c>
      <c r="B57" s="455" t="s">
        <v>2052</v>
      </c>
      <c r="C57" s="454" t="s">
        <v>2049</v>
      </c>
      <c r="D57" s="1240"/>
      <c r="E57" s="1240"/>
      <c r="F57" s="475"/>
      <c r="G57" s="475">
        <v>0</v>
      </c>
      <c r="H57" s="475">
        <v>0</v>
      </c>
    </row>
    <row r="58" spans="1:8" ht="15.6">
      <c r="A58" s="458">
        <v>53</v>
      </c>
      <c r="B58" s="455" t="s">
        <v>2053</v>
      </c>
      <c r="C58" s="454" t="s">
        <v>2049</v>
      </c>
      <c r="D58" s="1240"/>
      <c r="E58" s="1240"/>
      <c r="F58" s="475"/>
      <c r="G58" s="475">
        <v>0</v>
      </c>
      <c r="H58" s="475">
        <v>0</v>
      </c>
    </row>
    <row r="59" spans="1:8" ht="15.6">
      <c r="A59" s="458">
        <v>54</v>
      </c>
      <c r="B59" s="455" t="s">
        <v>2054</v>
      </c>
      <c r="C59" s="454" t="s">
        <v>2049</v>
      </c>
      <c r="D59" s="1240"/>
      <c r="E59" s="1240"/>
      <c r="F59" s="475"/>
      <c r="G59" s="475">
        <v>233959</v>
      </c>
      <c r="H59" s="475">
        <v>45323</v>
      </c>
    </row>
    <row r="60" spans="1:8" ht="15.6">
      <c r="A60" s="458">
        <v>55</v>
      </c>
      <c r="B60" s="455" t="s">
        <v>2055</v>
      </c>
      <c r="C60" s="454" t="s">
        <v>2049</v>
      </c>
      <c r="D60" s="1240"/>
      <c r="E60" s="1240"/>
      <c r="F60" s="475"/>
      <c r="G60" s="475">
        <v>0</v>
      </c>
      <c r="H60" s="475">
        <v>0</v>
      </c>
    </row>
    <row r="61" spans="1:8" ht="15.6">
      <c r="A61" s="458">
        <v>56</v>
      </c>
      <c r="B61" s="455" t="s">
        <v>2056</v>
      </c>
      <c r="C61" s="454" t="s">
        <v>2049</v>
      </c>
      <c r="D61" s="1240"/>
      <c r="E61" s="1240"/>
      <c r="F61" s="475"/>
      <c r="G61" s="475">
        <v>0</v>
      </c>
      <c r="H61" s="475">
        <v>0</v>
      </c>
    </row>
    <row r="62" spans="1:8" ht="15.6">
      <c r="A62" s="458">
        <v>57</v>
      </c>
      <c r="B62" s="455" t="s">
        <v>2057</v>
      </c>
      <c r="C62" s="454" t="s">
        <v>2049</v>
      </c>
      <c r="D62" s="1240"/>
      <c r="E62" s="1240"/>
      <c r="F62" s="475"/>
      <c r="G62" s="475">
        <v>25396</v>
      </c>
      <c r="H62" s="475">
        <v>3712</v>
      </c>
    </row>
    <row r="63" spans="1:8" ht="15.6">
      <c r="A63" s="458">
        <v>58</v>
      </c>
      <c r="B63" s="455" t="s">
        <v>2058</v>
      </c>
      <c r="C63" s="454" t="s">
        <v>2049</v>
      </c>
      <c r="D63" s="1240"/>
      <c r="E63" s="1240"/>
      <c r="F63" s="475"/>
      <c r="G63" s="475">
        <v>0</v>
      </c>
      <c r="H63" s="475">
        <v>0</v>
      </c>
    </row>
    <row r="64" spans="1:8" ht="15.6">
      <c r="A64" s="458">
        <v>59</v>
      </c>
      <c r="B64" s="455" t="s">
        <v>2059</v>
      </c>
      <c r="C64" s="454" t="s">
        <v>2049</v>
      </c>
      <c r="D64" s="1240"/>
      <c r="E64" s="1240"/>
      <c r="F64" s="475"/>
      <c r="G64" s="475">
        <v>134011475</v>
      </c>
      <c r="H64" s="475">
        <v>71825460</v>
      </c>
    </row>
    <row r="65" spans="1:8" ht="15.6">
      <c r="A65" s="458">
        <v>60</v>
      </c>
      <c r="B65" s="455" t="s">
        <v>2060</v>
      </c>
      <c r="C65" s="454" t="s">
        <v>2049</v>
      </c>
      <c r="D65" s="1240"/>
      <c r="E65" s="1240"/>
      <c r="F65" s="475"/>
      <c r="G65" s="475">
        <v>0</v>
      </c>
      <c r="H65" s="475">
        <v>0</v>
      </c>
    </row>
    <row r="66" spans="1:8" ht="15.6">
      <c r="A66" s="458">
        <v>61</v>
      </c>
      <c r="B66" s="455" t="s">
        <v>2061</v>
      </c>
      <c r="C66" s="454" t="s">
        <v>2062</v>
      </c>
      <c r="D66" s="1240"/>
      <c r="E66" s="1240"/>
      <c r="F66" s="475"/>
      <c r="G66" s="475">
        <v>2159700</v>
      </c>
      <c r="H66" s="475">
        <v>1682927</v>
      </c>
    </row>
    <row r="67" spans="1:8" ht="15.6">
      <c r="A67" s="458">
        <v>62</v>
      </c>
      <c r="B67" s="393" t="s">
        <v>2063</v>
      </c>
      <c r="C67" s="392" t="s">
        <v>2064</v>
      </c>
      <c r="D67" s="1240"/>
      <c r="E67" s="1240"/>
      <c r="F67" s="475"/>
      <c r="G67" s="475">
        <v>1253267457</v>
      </c>
      <c r="H67" s="475">
        <v>885608926</v>
      </c>
    </row>
    <row r="68" spans="1:8" ht="15.6">
      <c r="A68" s="458">
        <v>63</v>
      </c>
      <c r="B68" s="393" t="s">
        <v>2065</v>
      </c>
      <c r="C68" s="392" t="s">
        <v>2066</v>
      </c>
      <c r="D68" s="1240"/>
      <c r="E68" s="1240"/>
      <c r="F68" s="475"/>
      <c r="G68" s="475">
        <v>68777742</v>
      </c>
      <c r="H68" s="475">
        <v>94849078</v>
      </c>
    </row>
    <row r="69" spans="1:8" ht="15.6">
      <c r="A69" s="458">
        <v>64</v>
      </c>
      <c r="B69" s="393" t="s">
        <v>468</v>
      </c>
      <c r="C69" s="392" t="s">
        <v>2067</v>
      </c>
      <c r="D69" s="1240"/>
      <c r="E69" s="1240"/>
      <c r="F69" s="475"/>
      <c r="G69" s="475">
        <v>85545107</v>
      </c>
      <c r="H69" s="475">
        <v>331710</v>
      </c>
    </row>
    <row r="70" spans="1:8" ht="15.6">
      <c r="A70" s="458">
        <v>65</v>
      </c>
      <c r="B70" s="394" t="s">
        <v>2068</v>
      </c>
      <c r="C70" s="392" t="s">
        <v>2069</v>
      </c>
      <c r="D70" s="1240"/>
      <c r="E70" s="1240"/>
      <c r="F70" s="475"/>
      <c r="G70" s="475">
        <v>147490992</v>
      </c>
      <c r="H70" s="475">
        <v>129973420</v>
      </c>
    </row>
    <row r="71" spans="1:8" ht="15.6">
      <c r="A71" s="458">
        <v>66</v>
      </c>
      <c r="B71" s="394" t="s">
        <v>2070</v>
      </c>
      <c r="C71" s="392" t="s">
        <v>2071</v>
      </c>
      <c r="D71" s="1240"/>
      <c r="E71" s="1240"/>
      <c r="F71" s="475"/>
      <c r="G71" s="475">
        <v>0</v>
      </c>
      <c r="H71" s="475">
        <v>0</v>
      </c>
    </row>
    <row r="72" spans="1:8" ht="15.6">
      <c r="A72" s="458">
        <v>67</v>
      </c>
      <c r="B72" s="394" t="s">
        <v>2072</v>
      </c>
      <c r="C72" s="392" t="s">
        <v>2073</v>
      </c>
      <c r="D72" s="1240"/>
      <c r="E72" s="1240"/>
      <c r="F72" s="475"/>
      <c r="G72" s="475">
        <v>0</v>
      </c>
      <c r="H72" s="475">
        <v>0</v>
      </c>
    </row>
    <row r="73" spans="1:8" ht="15.6">
      <c r="A73" s="458">
        <v>68</v>
      </c>
      <c r="B73" s="394" t="s">
        <v>2074</v>
      </c>
      <c r="C73" s="392" t="s">
        <v>2075</v>
      </c>
      <c r="D73" s="1240"/>
      <c r="E73" s="1240"/>
      <c r="F73" s="475"/>
      <c r="G73" s="475">
        <v>2163111</v>
      </c>
      <c r="H73" s="475">
        <v>3085376</v>
      </c>
    </row>
    <row r="74" spans="1:8" ht="15.6">
      <c r="A74" s="458">
        <v>69</v>
      </c>
      <c r="B74" s="394" t="s">
        <v>2076</v>
      </c>
      <c r="C74" s="392" t="s">
        <v>2077</v>
      </c>
      <c r="D74" s="1240"/>
      <c r="E74" s="1240"/>
      <c r="F74" s="475"/>
      <c r="G74" s="475">
        <v>13915533</v>
      </c>
      <c r="H74" s="475">
        <v>9600040</v>
      </c>
    </row>
    <row r="75" spans="1:8" ht="15.6">
      <c r="A75" s="458">
        <v>70</v>
      </c>
      <c r="B75" s="394" t="s">
        <v>2078</v>
      </c>
      <c r="C75" s="392" t="s">
        <v>2079</v>
      </c>
      <c r="D75" s="1240"/>
      <c r="E75" s="1240"/>
      <c r="F75" s="475"/>
      <c r="G75" s="475">
        <v>6094918</v>
      </c>
      <c r="H75" s="475">
        <v>1972742</v>
      </c>
    </row>
    <row r="76" spans="1:8" ht="15.6">
      <c r="A76" s="458">
        <v>71</v>
      </c>
      <c r="B76" s="394" t="s">
        <v>2080</v>
      </c>
      <c r="C76" s="392" t="s">
        <v>2081</v>
      </c>
      <c r="D76" s="1240"/>
      <c r="E76" s="1240"/>
      <c r="F76" s="475"/>
      <c r="G76" s="475">
        <v>192418737</v>
      </c>
      <c r="H76" s="475">
        <v>172479256</v>
      </c>
    </row>
    <row r="77" spans="1:8" ht="15.6">
      <c r="A77" s="458">
        <v>72</v>
      </c>
      <c r="B77" s="394" t="s">
        <v>2082</v>
      </c>
      <c r="C77" s="392" t="s">
        <v>2083</v>
      </c>
      <c r="D77" s="1240"/>
      <c r="E77" s="1240"/>
      <c r="F77" s="475"/>
      <c r="G77" s="475">
        <v>0</v>
      </c>
      <c r="H77" s="475">
        <v>30936490</v>
      </c>
    </row>
    <row r="78" spans="1:8" ht="15.6">
      <c r="A78" s="458">
        <v>73</v>
      </c>
      <c r="B78" s="394" t="s">
        <v>2084</v>
      </c>
      <c r="C78" s="392" t="s">
        <v>2085</v>
      </c>
      <c r="D78" s="1240"/>
      <c r="E78" s="1240"/>
      <c r="F78" s="475"/>
      <c r="G78" s="475">
        <v>0</v>
      </c>
      <c r="H78" s="475">
        <v>0</v>
      </c>
    </row>
    <row r="79" spans="1:8" ht="15.6">
      <c r="A79" s="458">
        <v>74</v>
      </c>
      <c r="B79" s="394" t="s">
        <v>2086</v>
      </c>
      <c r="C79" s="392" t="s">
        <v>2087</v>
      </c>
      <c r="D79" s="1240"/>
      <c r="E79" s="1240"/>
      <c r="F79" s="475"/>
      <c r="G79" s="475">
        <v>0</v>
      </c>
      <c r="H79" s="475">
        <v>0</v>
      </c>
    </row>
    <row r="80" spans="1:8" ht="15.6">
      <c r="A80" s="458">
        <v>75</v>
      </c>
      <c r="B80" s="394" t="s">
        <v>2088</v>
      </c>
      <c r="C80" s="392" t="s">
        <v>2089</v>
      </c>
      <c r="D80" s="1240"/>
      <c r="E80" s="1240"/>
      <c r="F80" s="475"/>
      <c r="G80" s="475">
        <v>0</v>
      </c>
      <c r="H80" s="475">
        <v>3609233</v>
      </c>
    </row>
    <row r="81" spans="1:8" ht="15.6">
      <c r="A81" s="458">
        <v>76</v>
      </c>
      <c r="B81" s="394" t="s">
        <v>2090</v>
      </c>
      <c r="C81" s="392" t="s">
        <v>2091</v>
      </c>
      <c r="D81" s="1240"/>
      <c r="E81" s="1240"/>
      <c r="F81" s="475"/>
      <c r="G81" s="475">
        <v>0</v>
      </c>
      <c r="H81" s="475">
        <v>11746432</v>
      </c>
    </row>
    <row r="82" spans="1:8" ht="15.6">
      <c r="A82" s="458">
        <v>77</v>
      </c>
      <c r="B82" s="394" t="s">
        <v>2092</v>
      </c>
      <c r="C82" s="392" t="s">
        <v>2093</v>
      </c>
      <c r="D82" s="1240"/>
      <c r="E82" s="1240"/>
      <c r="F82" s="475"/>
      <c r="G82" s="475">
        <v>0</v>
      </c>
      <c r="H82" s="475">
        <v>2020885</v>
      </c>
    </row>
    <row r="83" spans="1:8" ht="15.6">
      <c r="A83" s="458">
        <v>78</v>
      </c>
      <c r="B83" s="394" t="s">
        <v>2094</v>
      </c>
      <c r="C83" s="392" t="s">
        <v>2095</v>
      </c>
      <c r="D83" s="1240"/>
      <c r="E83" s="1240"/>
      <c r="F83" s="475"/>
      <c r="G83" s="475">
        <v>0</v>
      </c>
      <c r="H83" s="475">
        <v>100428222</v>
      </c>
    </row>
    <row r="84" spans="1:8" ht="15.6">
      <c r="A84" s="458">
        <v>79</v>
      </c>
      <c r="B84" s="394" t="s">
        <v>2096</v>
      </c>
      <c r="C84" s="392" t="s">
        <v>2097</v>
      </c>
      <c r="D84" s="1240"/>
      <c r="E84" s="1240"/>
      <c r="F84" s="475"/>
      <c r="G84" s="475">
        <v>0</v>
      </c>
      <c r="H84" s="475">
        <v>0</v>
      </c>
    </row>
    <row r="85" spans="1:8" ht="15.6">
      <c r="A85" s="458">
        <v>80</v>
      </c>
      <c r="B85" s="394" t="s">
        <v>2098</v>
      </c>
      <c r="C85" s="392" t="s">
        <v>2099</v>
      </c>
      <c r="D85" s="1240"/>
      <c r="E85" s="1240"/>
      <c r="F85" s="475"/>
      <c r="G85" s="475">
        <v>65233191</v>
      </c>
      <c r="H85" s="475">
        <v>3780</v>
      </c>
    </row>
    <row r="86" spans="1:8" ht="15.6">
      <c r="A86" s="458">
        <v>81</v>
      </c>
      <c r="B86" s="394" t="s">
        <v>2100</v>
      </c>
      <c r="C86" s="392" t="s">
        <v>2101</v>
      </c>
      <c r="D86" s="1240"/>
      <c r="E86" s="1240"/>
      <c r="F86" s="475"/>
      <c r="G86" s="475">
        <v>87946192</v>
      </c>
      <c r="H86" s="475">
        <v>34018</v>
      </c>
    </row>
    <row r="87" spans="1:8" ht="15.6">
      <c r="A87" s="458">
        <v>82</v>
      </c>
      <c r="B87" s="465" t="s">
        <v>2102</v>
      </c>
      <c r="C87" s="471" t="s">
        <v>2103</v>
      </c>
      <c r="D87" s="1240"/>
      <c r="E87" s="1240"/>
      <c r="F87" s="475"/>
      <c r="G87" s="475">
        <v>203551824</v>
      </c>
      <c r="H87" s="475">
        <v>38089595</v>
      </c>
    </row>
    <row r="88" spans="1:8" ht="15.6">
      <c r="A88" s="458">
        <v>83</v>
      </c>
      <c r="B88" s="465" t="s">
        <v>2104</v>
      </c>
      <c r="C88" s="471" t="s">
        <v>2105</v>
      </c>
      <c r="D88" s="1240"/>
      <c r="E88" s="1240"/>
      <c r="F88" s="475"/>
      <c r="G88" s="475">
        <v>202640055</v>
      </c>
      <c r="H88" s="475">
        <v>45262078</v>
      </c>
    </row>
    <row r="89" spans="1:8" ht="15.6">
      <c r="A89" s="458">
        <v>84</v>
      </c>
      <c r="B89" s="466" t="s">
        <v>2106</v>
      </c>
      <c r="C89" s="392" t="s">
        <v>2107</v>
      </c>
      <c r="D89" s="1240"/>
      <c r="E89" s="1240"/>
      <c r="F89" s="475"/>
      <c r="G89" s="475">
        <v>483004984</v>
      </c>
      <c r="H89" s="475">
        <v>318203574</v>
      </c>
    </row>
    <row r="90" spans="1:8" ht="15.6">
      <c r="A90" s="458">
        <v>85</v>
      </c>
      <c r="B90" s="466" t="s">
        <v>2227</v>
      </c>
      <c r="C90" s="392" t="s">
        <v>2108</v>
      </c>
      <c r="D90" s="1240"/>
      <c r="E90" s="1240"/>
      <c r="F90" s="475"/>
      <c r="G90" s="475">
        <v>-7056</v>
      </c>
      <c r="H90" s="475">
        <v>0</v>
      </c>
    </row>
    <row r="91" spans="1:8" ht="15.6">
      <c r="A91" s="458">
        <v>86</v>
      </c>
      <c r="B91" s="455" t="s">
        <v>2109</v>
      </c>
      <c r="C91" s="454" t="s">
        <v>2110</v>
      </c>
      <c r="D91" s="1240"/>
      <c r="E91" s="1240"/>
      <c r="F91" s="475"/>
      <c r="G91" s="475">
        <v>21204649</v>
      </c>
      <c r="H91" s="475">
        <v>21328734</v>
      </c>
    </row>
    <row r="92" spans="1:8" ht="15.6">
      <c r="A92" s="458">
        <v>87</v>
      </c>
      <c r="B92" s="455" t="s">
        <v>2111</v>
      </c>
      <c r="C92" s="454" t="s">
        <v>2112</v>
      </c>
      <c r="D92" s="1240"/>
      <c r="E92" s="1240"/>
      <c r="F92" s="475"/>
      <c r="G92" s="475">
        <v>3673098</v>
      </c>
      <c r="H92" s="475">
        <v>8251074</v>
      </c>
    </row>
    <row r="93" spans="1:8" ht="15.6">
      <c r="A93" s="458">
        <v>88</v>
      </c>
      <c r="B93" s="455" t="s">
        <v>2113</v>
      </c>
      <c r="C93" s="454" t="s">
        <v>2114</v>
      </c>
      <c r="D93" s="1240"/>
      <c r="E93" s="1240"/>
      <c r="F93" s="475"/>
      <c r="G93" s="475">
        <v>589084</v>
      </c>
      <c r="H93" s="475">
        <v>1024819</v>
      </c>
    </row>
    <row r="94" spans="1:8" ht="15.6">
      <c r="A94" s="458">
        <v>89</v>
      </c>
      <c r="B94" s="455" t="s">
        <v>2115</v>
      </c>
      <c r="C94" s="454" t="s">
        <v>2116</v>
      </c>
      <c r="D94" s="1240"/>
      <c r="E94" s="1240"/>
      <c r="F94" s="475"/>
      <c r="G94" s="475">
        <v>7568733</v>
      </c>
      <c r="H94" s="475">
        <v>4029406</v>
      </c>
    </row>
    <row r="95" spans="1:8" ht="15.6">
      <c r="A95" s="458">
        <v>90</v>
      </c>
      <c r="B95" s="455" t="s">
        <v>2117</v>
      </c>
      <c r="C95" s="454" t="s">
        <v>2118</v>
      </c>
      <c r="D95" s="1240"/>
      <c r="E95" s="1240"/>
      <c r="F95" s="475"/>
      <c r="G95" s="475">
        <v>5895438</v>
      </c>
      <c r="H95" s="475">
        <v>6160278</v>
      </c>
    </row>
    <row r="96" spans="1:8" ht="15.6">
      <c r="A96" s="458">
        <v>91</v>
      </c>
      <c r="B96" s="455" t="s">
        <v>2119</v>
      </c>
      <c r="C96" s="454" t="s">
        <v>2120</v>
      </c>
      <c r="D96" s="1240"/>
      <c r="E96" s="1240"/>
      <c r="F96" s="475"/>
      <c r="G96" s="475">
        <v>1285982</v>
      </c>
      <c r="H96" s="475">
        <v>3075168</v>
      </c>
    </row>
    <row r="97" spans="1:8" ht="15.6">
      <c r="A97" s="458">
        <v>92</v>
      </c>
      <c r="B97" s="455" t="s">
        <v>2121</v>
      </c>
      <c r="C97" s="454" t="s">
        <v>2122</v>
      </c>
      <c r="D97" s="1240"/>
      <c r="E97" s="1240"/>
      <c r="F97" s="475"/>
      <c r="G97" s="475">
        <v>10615546</v>
      </c>
      <c r="H97" s="475">
        <v>18000685</v>
      </c>
    </row>
    <row r="98" spans="1:8" ht="15.6">
      <c r="A98" s="458">
        <v>93</v>
      </c>
      <c r="B98" s="455" t="s">
        <v>2123</v>
      </c>
      <c r="C98" s="454" t="s">
        <v>2124</v>
      </c>
      <c r="D98" s="1240"/>
      <c r="E98" s="1240"/>
      <c r="F98" s="475"/>
      <c r="G98" s="475">
        <v>0</v>
      </c>
      <c r="H98" s="475">
        <v>0</v>
      </c>
    </row>
    <row r="99" spans="1:8" ht="15.6">
      <c r="A99" s="458">
        <v>94</v>
      </c>
      <c r="B99" s="455" t="s">
        <v>2125</v>
      </c>
      <c r="C99" s="454" t="s">
        <v>2126</v>
      </c>
      <c r="D99" s="1240"/>
      <c r="E99" s="1240"/>
      <c r="F99" s="475"/>
      <c r="G99" s="475">
        <v>3276659</v>
      </c>
      <c r="H99" s="475">
        <v>2036865</v>
      </c>
    </row>
    <row r="100" spans="1:8" ht="15.6">
      <c r="A100" s="458">
        <v>95</v>
      </c>
      <c r="B100" s="455" t="s">
        <v>2127</v>
      </c>
      <c r="C100" s="454" t="s">
        <v>2128</v>
      </c>
      <c r="D100" s="1240"/>
      <c r="E100" s="1240"/>
      <c r="F100" s="475"/>
      <c r="G100" s="475">
        <v>158200</v>
      </c>
      <c r="H100" s="475">
        <v>73704</v>
      </c>
    </row>
    <row r="101" spans="1:8" ht="15.6">
      <c r="A101" s="458">
        <v>96</v>
      </c>
      <c r="B101" s="455" t="s">
        <v>2129</v>
      </c>
      <c r="C101" s="454" t="s">
        <v>2130</v>
      </c>
      <c r="D101" s="1240"/>
      <c r="E101" s="1240"/>
      <c r="F101" s="475"/>
      <c r="G101" s="475">
        <v>0</v>
      </c>
      <c r="H101" s="475">
        <v>440</v>
      </c>
    </row>
    <row r="102" spans="1:8" ht="15.6">
      <c r="A102" s="458">
        <v>97</v>
      </c>
      <c r="B102" s="455" t="s">
        <v>2131</v>
      </c>
      <c r="C102" s="454" t="s">
        <v>2132</v>
      </c>
      <c r="D102" s="1240"/>
      <c r="E102" s="1240"/>
      <c r="F102" s="475"/>
      <c r="G102" s="475">
        <v>2489816</v>
      </c>
      <c r="H102" s="475">
        <v>3027294</v>
      </c>
    </row>
    <row r="103" spans="1:8" ht="15.6">
      <c r="A103" s="458">
        <v>98</v>
      </c>
      <c r="B103" s="455" t="s">
        <v>2133</v>
      </c>
      <c r="C103" s="454" t="s">
        <v>2134</v>
      </c>
      <c r="D103" s="1240"/>
      <c r="E103" s="1240"/>
      <c r="F103" s="475"/>
      <c r="G103" s="475">
        <v>1150207</v>
      </c>
      <c r="H103" s="475">
        <v>257811</v>
      </c>
    </row>
    <row r="104" spans="1:8" ht="15.6">
      <c r="A104" s="458">
        <v>99</v>
      </c>
      <c r="B104" s="455" t="s">
        <v>2135</v>
      </c>
      <c r="C104" s="454" t="s">
        <v>2136</v>
      </c>
      <c r="D104" s="1240"/>
      <c r="E104" s="1240"/>
      <c r="F104" s="475"/>
      <c r="G104" s="475">
        <v>11452907</v>
      </c>
      <c r="H104" s="475">
        <v>18218506</v>
      </c>
    </row>
    <row r="105" spans="1:8" ht="15.6">
      <c r="A105" s="458">
        <v>100</v>
      </c>
      <c r="B105" s="466" t="s">
        <v>2137</v>
      </c>
      <c r="C105" s="392" t="s">
        <v>2138</v>
      </c>
      <c r="D105" s="1240"/>
      <c r="E105" s="1240"/>
      <c r="F105" s="475"/>
      <c r="G105" s="475">
        <v>67865751</v>
      </c>
      <c r="H105" s="475">
        <v>83287738</v>
      </c>
    </row>
    <row r="106" spans="1:8" ht="15.6">
      <c r="A106" s="458">
        <v>101</v>
      </c>
      <c r="B106" s="465" t="s">
        <v>2139</v>
      </c>
      <c r="C106" s="471" t="s">
        <v>2140</v>
      </c>
      <c r="D106" s="1240"/>
      <c r="E106" s="1240"/>
      <c r="F106" s="475"/>
      <c r="G106" s="475">
        <v>26819140</v>
      </c>
      <c r="H106" s="475">
        <v>0</v>
      </c>
    </row>
    <row r="107" spans="1:8" ht="15.6">
      <c r="A107" s="458">
        <v>102</v>
      </c>
      <c r="B107" s="465" t="s">
        <v>2141</v>
      </c>
      <c r="C107" s="471" t="s">
        <v>2142</v>
      </c>
      <c r="D107" s="1240"/>
      <c r="E107" s="1240"/>
      <c r="F107" s="475"/>
      <c r="G107" s="475">
        <v>174885325</v>
      </c>
      <c r="H107" s="475">
        <v>38304018</v>
      </c>
    </row>
    <row r="108" spans="1:8" ht="15.6">
      <c r="A108" s="458">
        <v>103</v>
      </c>
      <c r="B108" s="465" t="s">
        <v>2010</v>
      </c>
      <c r="C108" s="471" t="s">
        <v>2143</v>
      </c>
      <c r="D108" s="1240"/>
      <c r="E108" s="1240"/>
      <c r="F108" s="475"/>
      <c r="G108" s="475">
        <v>28717812</v>
      </c>
      <c r="H108" s="475">
        <v>3902913</v>
      </c>
    </row>
    <row r="109" spans="1:8" ht="15.6">
      <c r="A109" s="458">
        <v>104</v>
      </c>
      <c r="B109" s="465" t="s">
        <v>2144</v>
      </c>
      <c r="C109" s="392" t="s">
        <v>2145</v>
      </c>
      <c r="D109" s="1240"/>
      <c r="E109" s="1240"/>
      <c r="F109" s="475"/>
      <c r="G109" s="475">
        <v>83428892</v>
      </c>
      <c r="H109" s="475">
        <v>35982968</v>
      </c>
    </row>
    <row r="110" spans="1:8" ht="15.6">
      <c r="A110" s="458">
        <v>105</v>
      </c>
      <c r="B110" s="394" t="s">
        <v>2146</v>
      </c>
      <c r="C110" s="392" t="s">
        <v>2147</v>
      </c>
      <c r="D110" s="1240"/>
      <c r="E110" s="1240"/>
      <c r="F110" s="475"/>
      <c r="G110" s="475">
        <v>0</v>
      </c>
      <c r="H110" s="475">
        <v>39619286</v>
      </c>
    </row>
    <row r="111" spans="1:8" ht="15.6">
      <c r="A111" s="458">
        <v>106</v>
      </c>
      <c r="B111" s="465" t="s">
        <v>2148</v>
      </c>
      <c r="C111" s="392" t="s">
        <v>2149</v>
      </c>
      <c r="D111" s="1240"/>
      <c r="E111" s="1240"/>
      <c r="F111" s="475"/>
      <c r="G111" s="475">
        <v>0</v>
      </c>
      <c r="H111" s="475">
        <v>0</v>
      </c>
    </row>
    <row r="112" spans="1:8" ht="15.6">
      <c r="A112" s="458">
        <v>107</v>
      </c>
      <c r="B112" s="465" t="s">
        <v>2150</v>
      </c>
      <c r="C112" s="392" t="s">
        <v>2151</v>
      </c>
      <c r="D112" s="1240"/>
      <c r="E112" s="1240"/>
      <c r="F112" s="475"/>
      <c r="G112" s="475">
        <v>0</v>
      </c>
      <c r="H112" s="475">
        <v>0</v>
      </c>
    </row>
    <row r="113" spans="1:8" ht="15.6">
      <c r="A113" s="458">
        <v>108</v>
      </c>
      <c r="B113" s="465" t="s">
        <v>2152</v>
      </c>
      <c r="C113" s="392" t="s">
        <v>2153</v>
      </c>
      <c r="D113" s="1240"/>
      <c r="E113" s="1240"/>
      <c r="F113" s="475"/>
      <c r="G113" s="475">
        <v>54603613</v>
      </c>
      <c r="H113" s="475">
        <v>32020</v>
      </c>
    </row>
    <row r="114" spans="1:8" ht="15.6">
      <c r="A114" s="458">
        <v>109</v>
      </c>
      <c r="B114" s="465" t="s">
        <v>2154</v>
      </c>
      <c r="C114" s="392" t="s">
        <v>2155</v>
      </c>
      <c r="D114" s="1240"/>
      <c r="E114" s="1240"/>
      <c r="F114" s="475"/>
      <c r="G114" s="475">
        <v>15545148</v>
      </c>
      <c r="H114" s="475">
        <v>7264568</v>
      </c>
    </row>
    <row r="115" spans="1:8" ht="15.6">
      <c r="A115" s="458">
        <v>110</v>
      </c>
      <c r="B115" s="394" t="s">
        <v>2156</v>
      </c>
      <c r="C115" s="392" t="s">
        <v>2157</v>
      </c>
      <c r="D115" s="1240"/>
      <c r="E115" s="1240"/>
      <c r="F115" s="475"/>
      <c r="G115" s="475">
        <v>29796237</v>
      </c>
      <c r="H115" s="475">
        <v>51553690</v>
      </c>
    </row>
    <row r="116" spans="1:8" ht="15.6">
      <c r="A116" s="458">
        <v>111</v>
      </c>
      <c r="B116" s="394" t="s">
        <v>496</v>
      </c>
      <c r="C116" s="392" t="s">
        <v>2158</v>
      </c>
      <c r="D116" s="1240"/>
      <c r="E116" s="1240"/>
      <c r="F116" s="475"/>
      <c r="G116" s="475">
        <v>3970128</v>
      </c>
      <c r="H116" s="475">
        <v>1897736</v>
      </c>
    </row>
    <row r="117" spans="1:8" ht="15.6">
      <c r="A117" s="458">
        <v>112</v>
      </c>
      <c r="B117" s="394" t="s">
        <v>495</v>
      </c>
      <c r="C117" s="392" t="s">
        <v>2159</v>
      </c>
      <c r="D117" s="1240"/>
      <c r="E117" s="1240"/>
      <c r="F117" s="475"/>
      <c r="G117" s="475">
        <v>6361030</v>
      </c>
      <c r="H117" s="475">
        <v>4149249</v>
      </c>
    </row>
    <row r="118" spans="1:8" ht="15.6">
      <c r="A118" s="458">
        <v>113</v>
      </c>
      <c r="B118" s="394" t="s">
        <v>497</v>
      </c>
      <c r="C118" s="392" t="s">
        <v>2160</v>
      </c>
      <c r="D118" s="1240"/>
      <c r="E118" s="1240"/>
      <c r="F118" s="475"/>
      <c r="G118" s="475">
        <v>5303172</v>
      </c>
      <c r="H118" s="475">
        <v>4570635</v>
      </c>
    </row>
    <row r="119" spans="1:8" ht="15.6">
      <c r="A119" s="458">
        <v>114</v>
      </c>
      <c r="B119" s="394" t="s">
        <v>498</v>
      </c>
      <c r="C119" s="392" t="s">
        <v>2161</v>
      </c>
      <c r="D119" s="1240"/>
      <c r="E119" s="1240"/>
      <c r="F119" s="475"/>
      <c r="G119" s="475">
        <v>749915</v>
      </c>
      <c r="H119" s="475">
        <v>658989</v>
      </c>
    </row>
    <row r="120" spans="1:8" ht="15.6">
      <c r="A120" s="458">
        <v>115</v>
      </c>
      <c r="B120" s="394" t="s">
        <v>499</v>
      </c>
      <c r="C120" s="392" t="s">
        <v>2162</v>
      </c>
      <c r="D120" s="1240"/>
      <c r="E120" s="1240"/>
      <c r="F120" s="475"/>
      <c r="G120" s="475">
        <v>738483</v>
      </c>
      <c r="H120" s="475">
        <v>670662</v>
      </c>
    </row>
    <row r="121" spans="1:8" ht="15.6">
      <c r="A121" s="458">
        <v>116</v>
      </c>
      <c r="B121" s="466" t="s">
        <v>2163</v>
      </c>
      <c r="C121" s="392" t="s">
        <v>2164</v>
      </c>
      <c r="D121" s="1240"/>
      <c r="E121" s="1240"/>
      <c r="F121" s="475"/>
      <c r="G121" s="475">
        <v>20694969</v>
      </c>
      <c r="H121" s="475">
        <v>17187090</v>
      </c>
    </row>
    <row r="122" spans="1:8" ht="15.6">
      <c r="A122" s="458">
        <v>117</v>
      </c>
      <c r="B122" s="394" t="s">
        <v>2165</v>
      </c>
      <c r="C122" s="392" t="s">
        <v>2166</v>
      </c>
      <c r="D122" s="1240"/>
      <c r="E122" s="1240"/>
      <c r="F122" s="475"/>
      <c r="G122" s="475">
        <v>67613934</v>
      </c>
      <c r="H122" s="475">
        <v>80688051</v>
      </c>
    </row>
    <row r="123" spans="1:8" ht="15.6">
      <c r="A123" s="458">
        <v>118</v>
      </c>
      <c r="B123" s="394" t="s">
        <v>2167</v>
      </c>
      <c r="C123" s="392" t="s">
        <v>2168</v>
      </c>
      <c r="D123" s="1240"/>
      <c r="E123" s="1240"/>
      <c r="F123" s="475"/>
      <c r="G123" s="475">
        <v>0</v>
      </c>
      <c r="H123" s="475">
        <v>0</v>
      </c>
    </row>
    <row r="124" spans="1:8" ht="15.6">
      <c r="A124" s="458">
        <v>119</v>
      </c>
      <c r="B124" s="394" t="s">
        <v>2169</v>
      </c>
      <c r="C124" s="392" t="s">
        <v>2170</v>
      </c>
      <c r="D124" s="1240"/>
      <c r="E124" s="1240"/>
      <c r="F124" s="475"/>
      <c r="G124" s="475">
        <v>0</v>
      </c>
      <c r="H124" s="475">
        <v>0</v>
      </c>
    </row>
    <row r="125" spans="1:8" ht="15.6">
      <c r="A125" s="458">
        <v>120</v>
      </c>
      <c r="B125" s="394" t="s">
        <v>2171</v>
      </c>
      <c r="C125" s="392" t="s">
        <v>2172</v>
      </c>
      <c r="D125" s="1240"/>
      <c r="E125" s="1240"/>
      <c r="F125" s="475"/>
      <c r="G125" s="475">
        <v>0</v>
      </c>
      <c r="H125" s="475">
        <v>0</v>
      </c>
    </row>
    <row r="126" spans="1:8" ht="15.6">
      <c r="A126" s="458">
        <v>121</v>
      </c>
      <c r="B126" s="394" t="s">
        <v>2173</v>
      </c>
      <c r="C126" s="392" t="s">
        <v>2174</v>
      </c>
      <c r="D126" s="1240"/>
      <c r="E126" s="1240"/>
      <c r="F126" s="475"/>
      <c r="G126" s="475">
        <v>0</v>
      </c>
      <c r="H126" s="475">
        <v>0</v>
      </c>
    </row>
    <row r="127" spans="1:8" ht="15.6">
      <c r="A127" s="458">
        <v>122</v>
      </c>
      <c r="B127" s="394" t="s">
        <v>2175</v>
      </c>
      <c r="C127" s="392" t="s">
        <v>2176</v>
      </c>
      <c r="D127" s="1240"/>
      <c r="E127" s="1240"/>
      <c r="F127" s="475"/>
      <c r="G127" s="475">
        <v>0</v>
      </c>
      <c r="H127" s="475">
        <v>0</v>
      </c>
    </row>
    <row r="128" spans="1:8" ht="15.6">
      <c r="A128" s="458">
        <v>123</v>
      </c>
      <c r="B128" s="394" t="s">
        <v>2177</v>
      </c>
      <c r="C128" s="392" t="s">
        <v>2178</v>
      </c>
      <c r="D128" s="1241"/>
      <c r="E128" s="1241"/>
      <c r="F128" s="476"/>
      <c r="G128" s="476">
        <v>17322509</v>
      </c>
      <c r="H128" s="476">
        <v>10786185</v>
      </c>
    </row>
    <row r="129" spans="1:10" ht="15.6">
      <c r="A129" s="458">
        <v>124</v>
      </c>
      <c r="B129" s="394" t="s">
        <v>2179</v>
      </c>
      <c r="C129" s="392" t="s">
        <v>2180</v>
      </c>
      <c r="D129" s="1242"/>
      <c r="E129" s="1242"/>
      <c r="F129" s="477"/>
      <c r="G129" s="477">
        <v>3778571000</v>
      </c>
      <c r="H129" s="477">
        <v>1180799000</v>
      </c>
    </row>
    <row r="130" spans="1:10" ht="15.6">
      <c r="A130" s="458">
        <v>125</v>
      </c>
      <c r="B130" s="455" t="s">
        <v>2181</v>
      </c>
      <c r="C130" s="454" t="s">
        <v>2182</v>
      </c>
      <c r="D130" s="1240"/>
      <c r="E130" s="1240"/>
      <c r="F130" s="475"/>
      <c r="G130" s="475">
        <v>1267921</v>
      </c>
      <c r="H130" s="475">
        <v>396197</v>
      </c>
    </row>
    <row r="131" spans="1:10" ht="15.6">
      <c r="A131" s="458">
        <v>126</v>
      </c>
      <c r="B131" s="455" t="s">
        <v>2183</v>
      </c>
      <c r="C131" s="454" t="s">
        <v>2184</v>
      </c>
      <c r="D131" s="1240"/>
      <c r="E131" s="1240"/>
      <c r="F131" s="475"/>
      <c r="G131" s="475">
        <v>1774819092</v>
      </c>
      <c r="H131" s="475">
        <v>511249597</v>
      </c>
    </row>
    <row r="132" spans="1:10" ht="15.6">
      <c r="A132" s="458">
        <v>127</v>
      </c>
      <c r="B132" s="455" t="s">
        <v>2185</v>
      </c>
      <c r="C132" s="454" t="s">
        <v>2186</v>
      </c>
      <c r="D132" s="1240"/>
      <c r="E132" s="1240"/>
      <c r="F132" s="475"/>
      <c r="G132" s="475">
        <v>3980083</v>
      </c>
      <c r="H132" s="475">
        <v>1243319</v>
      </c>
    </row>
    <row r="133" spans="1:10" ht="15.6">
      <c r="A133" s="458">
        <v>128</v>
      </c>
      <c r="B133" s="455" t="s">
        <v>2187</v>
      </c>
      <c r="C133" s="454" t="s">
        <v>2188</v>
      </c>
      <c r="D133" s="1240"/>
      <c r="E133" s="1240"/>
      <c r="F133" s="475"/>
      <c r="G133" s="475">
        <v>0</v>
      </c>
      <c r="H133" s="475">
        <v>0</v>
      </c>
    </row>
    <row r="134" spans="1:10" ht="15.6">
      <c r="A134" s="458">
        <v>129</v>
      </c>
      <c r="B134" s="455" t="s">
        <v>2189</v>
      </c>
      <c r="C134" s="454" t="s">
        <v>2190</v>
      </c>
      <c r="D134" s="1240"/>
      <c r="E134" s="1240"/>
      <c r="F134" s="475"/>
      <c r="G134" s="475">
        <v>0</v>
      </c>
      <c r="H134" s="475">
        <v>0</v>
      </c>
      <c r="I134" s="454"/>
      <c r="J134" s="472"/>
    </row>
    <row r="135" spans="1:10" ht="15.6">
      <c r="A135" s="458">
        <v>130</v>
      </c>
      <c r="B135" s="455" t="s">
        <v>2191</v>
      </c>
      <c r="C135" s="454" t="s">
        <v>2192</v>
      </c>
      <c r="D135" s="1240"/>
      <c r="E135" s="1240"/>
      <c r="F135" s="475"/>
      <c r="G135" s="475">
        <v>860093</v>
      </c>
      <c r="H135" s="475">
        <v>268779</v>
      </c>
      <c r="I135" s="454"/>
      <c r="J135" s="472"/>
    </row>
    <row r="136" spans="1:10" ht="15.6">
      <c r="A136" s="458">
        <v>131</v>
      </c>
      <c r="B136" s="455" t="s">
        <v>2193</v>
      </c>
      <c r="C136" s="454" t="s">
        <v>2194</v>
      </c>
      <c r="D136" s="1240"/>
      <c r="E136" s="1240"/>
      <c r="F136" s="475"/>
      <c r="G136" s="475">
        <v>5359185</v>
      </c>
      <c r="H136" s="475">
        <v>1646483</v>
      </c>
      <c r="I136" s="454"/>
      <c r="J136" s="472"/>
    </row>
    <row r="137" spans="1:10" ht="15.6">
      <c r="A137" s="458">
        <v>132</v>
      </c>
      <c r="B137" s="455" t="s">
        <v>2195</v>
      </c>
      <c r="C137" s="454" t="s">
        <v>2196</v>
      </c>
      <c r="D137" s="1240"/>
      <c r="E137" s="1240"/>
      <c r="F137" s="475"/>
      <c r="G137" s="475">
        <v>0</v>
      </c>
      <c r="H137" s="475">
        <v>0</v>
      </c>
      <c r="I137" s="454"/>
    </row>
    <row r="138" spans="1:10" ht="15.6">
      <c r="A138" s="458">
        <v>133</v>
      </c>
      <c r="B138" s="455" t="s">
        <v>2197</v>
      </c>
      <c r="C138" s="454" t="s">
        <v>2198</v>
      </c>
      <c r="D138" s="1240"/>
      <c r="E138" s="1240"/>
      <c r="F138" s="475"/>
      <c r="G138" s="475">
        <v>0</v>
      </c>
      <c r="H138" s="475">
        <v>-9</v>
      </c>
      <c r="I138" s="454"/>
    </row>
    <row r="139" spans="1:10" ht="15.6">
      <c r="A139" s="458">
        <v>134</v>
      </c>
      <c r="B139" s="455" t="s">
        <v>2199</v>
      </c>
      <c r="C139" s="454" t="s">
        <v>2200</v>
      </c>
      <c r="D139" s="1240"/>
      <c r="E139" s="1240"/>
      <c r="F139" s="475"/>
      <c r="G139" s="475">
        <v>1597812</v>
      </c>
      <c r="H139" s="475">
        <v>499316</v>
      </c>
      <c r="I139" s="454"/>
    </row>
    <row r="140" spans="1:10" ht="15.6">
      <c r="A140" s="458">
        <v>135</v>
      </c>
      <c r="B140" s="455" t="s">
        <v>2201</v>
      </c>
      <c r="C140" s="454" t="s">
        <v>2202</v>
      </c>
      <c r="D140" s="1240"/>
      <c r="E140" s="1240"/>
      <c r="F140" s="475"/>
      <c r="G140" s="475">
        <v>2129510</v>
      </c>
      <c r="H140" s="475">
        <v>665471</v>
      </c>
      <c r="I140" s="454"/>
    </row>
    <row r="141" spans="1:10" ht="15.6">
      <c r="A141" s="458">
        <v>136</v>
      </c>
      <c r="B141" s="455" t="s">
        <v>2203</v>
      </c>
      <c r="C141" s="454" t="s">
        <v>2204</v>
      </c>
      <c r="D141" s="1240"/>
      <c r="E141" s="1240"/>
      <c r="F141" s="475"/>
      <c r="G141" s="475">
        <v>9616588</v>
      </c>
      <c r="H141" s="475">
        <v>3008616</v>
      </c>
      <c r="I141" s="454"/>
    </row>
    <row r="142" spans="1:10" ht="15.6">
      <c r="A142" s="458">
        <v>137</v>
      </c>
      <c r="B142" s="455" t="s">
        <v>2205</v>
      </c>
      <c r="C142" s="454" t="s">
        <v>2206</v>
      </c>
      <c r="D142" s="1240"/>
      <c r="E142" s="1240"/>
      <c r="F142" s="475"/>
      <c r="G142" s="475">
        <v>4682740</v>
      </c>
      <c r="H142" s="475">
        <v>1463284</v>
      </c>
      <c r="I142" s="454"/>
    </row>
    <row r="143" spans="1:10" ht="15.6">
      <c r="A143" s="458">
        <v>138</v>
      </c>
      <c r="B143" s="455" t="s">
        <v>2207</v>
      </c>
      <c r="C143" s="454" t="s">
        <v>2208</v>
      </c>
      <c r="D143" s="1240"/>
      <c r="E143" s="1240"/>
      <c r="F143" s="475"/>
      <c r="G143" s="475">
        <v>1920603</v>
      </c>
      <c r="H143" s="475">
        <v>586637</v>
      </c>
      <c r="I143" s="454"/>
    </row>
    <row r="144" spans="1:10" ht="15.6">
      <c r="A144" s="454"/>
      <c r="B144" s="455"/>
      <c r="C144" s="454"/>
      <c r="D144" s="636"/>
      <c r="E144" s="614"/>
      <c r="F144" s="614"/>
      <c r="G144" s="636"/>
      <c r="H144" s="614"/>
      <c r="I144" s="454"/>
    </row>
    <row r="145" spans="1:9" ht="15.6">
      <c r="A145" s="454"/>
      <c r="B145" s="473" t="s">
        <v>2209</v>
      </c>
      <c r="C145" s="454"/>
      <c r="D145" s="636"/>
      <c r="E145" s="614"/>
      <c r="F145" s="614"/>
      <c r="G145" s="636"/>
      <c r="H145" s="614"/>
      <c r="I145" s="454"/>
    </row>
    <row r="146" spans="1:9" ht="15.6">
      <c r="A146" s="454">
        <v>139</v>
      </c>
      <c r="B146" s="455" t="s">
        <v>2210</v>
      </c>
      <c r="C146" s="454" t="s">
        <v>2211</v>
      </c>
      <c r="D146" s="1243"/>
      <c r="E146" s="614"/>
      <c r="F146" s="614"/>
      <c r="G146" s="478">
        <v>0</v>
      </c>
      <c r="H146" s="614"/>
      <c r="I146" s="454"/>
    </row>
    <row r="147" spans="1:9" ht="15.6">
      <c r="A147" s="454">
        <v>140</v>
      </c>
      <c r="B147" s="455" t="s">
        <v>2212</v>
      </c>
      <c r="C147" s="454" t="s">
        <v>2211</v>
      </c>
      <c r="D147" s="1243"/>
      <c r="E147" s="614"/>
      <c r="F147" s="614"/>
      <c r="G147" s="478">
        <v>0</v>
      </c>
      <c r="H147" s="614"/>
      <c r="I147" s="454"/>
    </row>
    <row r="148" spans="1:9" ht="15.6">
      <c r="A148" s="454">
        <v>141</v>
      </c>
      <c r="B148" s="455" t="s">
        <v>2213</v>
      </c>
      <c r="C148" s="454" t="s">
        <v>2211</v>
      </c>
      <c r="D148" s="1243"/>
      <c r="E148" s="614"/>
      <c r="F148" s="614"/>
      <c r="G148" s="478">
        <v>516.84</v>
      </c>
      <c r="H148" s="614"/>
      <c r="I148" s="454"/>
    </row>
    <row r="149" spans="1:9" ht="15.6">
      <c r="A149" s="454">
        <v>142</v>
      </c>
      <c r="B149" s="455" t="s">
        <v>2214</v>
      </c>
      <c r="C149" s="454" t="s">
        <v>2211</v>
      </c>
      <c r="D149" s="1243"/>
      <c r="E149" s="614"/>
      <c r="F149" s="614"/>
      <c r="G149" s="478">
        <v>2.75</v>
      </c>
      <c r="H149" s="614"/>
      <c r="I149" s="454"/>
    </row>
    <row r="150" spans="1:9" ht="15.6">
      <c r="A150" s="454">
        <v>143</v>
      </c>
      <c r="B150" s="455" t="s">
        <v>2215</v>
      </c>
      <c r="C150" s="454" t="s">
        <v>2211</v>
      </c>
      <c r="D150" s="1243"/>
      <c r="E150" s="614"/>
      <c r="F150" s="614"/>
      <c r="G150" s="478">
        <v>323.10000000000002</v>
      </c>
      <c r="H150" s="614"/>
      <c r="I150" s="454"/>
    </row>
    <row r="151" spans="1:9" ht="15.6">
      <c r="A151" s="454">
        <v>144</v>
      </c>
      <c r="B151" s="455" t="s">
        <v>2216</v>
      </c>
      <c r="C151" s="454" t="s">
        <v>2211</v>
      </c>
      <c r="D151" s="1243"/>
      <c r="E151" s="614"/>
      <c r="F151" s="614"/>
      <c r="G151" s="478">
        <v>375.02</v>
      </c>
      <c r="H151" s="1331"/>
      <c r="I151" s="454"/>
    </row>
    <row r="152" spans="1:9" ht="15.6">
      <c r="A152" s="454">
        <v>145</v>
      </c>
      <c r="B152" s="455" t="s">
        <v>2217</v>
      </c>
      <c r="C152" s="454" t="s">
        <v>2211</v>
      </c>
      <c r="D152" s="1243"/>
      <c r="E152" s="614"/>
      <c r="F152" s="614"/>
      <c r="G152" s="478">
        <v>346.12</v>
      </c>
      <c r="H152" s="614"/>
      <c r="I152" s="454"/>
    </row>
    <row r="153" spans="1:9" ht="15.6">
      <c r="A153" s="454">
        <v>146</v>
      </c>
      <c r="B153" s="455" t="s">
        <v>2218</v>
      </c>
      <c r="C153" s="454" t="s">
        <v>2211</v>
      </c>
      <c r="D153" s="1243"/>
      <c r="E153" s="614"/>
      <c r="F153" s="614"/>
      <c r="G153" s="478">
        <v>0</v>
      </c>
      <c r="H153" s="614"/>
      <c r="I153" s="454"/>
    </row>
    <row r="154" spans="1:9" ht="15.6">
      <c r="A154" s="454">
        <v>147</v>
      </c>
      <c r="B154" s="455" t="s">
        <v>2219</v>
      </c>
      <c r="C154" s="454" t="s">
        <v>2211</v>
      </c>
      <c r="D154" s="1243"/>
      <c r="E154" s="478"/>
      <c r="F154" s="478"/>
      <c r="G154" s="478">
        <v>1382.4</v>
      </c>
      <c r="H154" s="478">
        <v>432</v>
      </c>
      <c r="I154" s="454"/>
    </row>
    <row r="155" spans="1:9" ht="15.6">
      <c r="A155" s="454">
        <v>148</v>
      </c>
      <c r="B155" s="455" t="s">
        <v>2220</v>
      </c>
      <c r="C155" s="454" t="s">
        <v>2211</v>
      </c>
      <c r="D155" s="1243"/>
      <c r="E155" s="614"/>
      <c r="F155" s="614"/>
      <c r="G155" s="478">
        <v>730.34</v>
      </c>
      <c r="H155" s="614"/>
      <c r="I155" s="454"/>
    </row>
    <row r="156" spans="1:9" ht="15.6">
      <c r="A156" s="454">
        <v>149</v>
      </c>
      <c r="B156" s="455" t="s">
        <v>2221</v>
      </c>
      <c r="C156" s="454" t="s">
        <v>2211</v>
      </c>
      <c r="D156" s="1243"/>
      <c r="E156" s="614"/>
      <c r="F156" s="614"/>
      <c r="G156" s="478">
        <v>50</v>
      </c>
      <c r="H156" s="614"/>
      <c r="I156" s="454"/>
    </row>
    <row r="157" spans="1:9" ht="15.6">
      <c r="A157" s="454">
        <v>150</v>
      </c>
      <c r="B157" s="455" t="s">
        <v>2222</v>
      </c>
      <c r="C157" s="454" t="s">
        <v>2211</v>
      </c>
      <c r="D157" s="1244"/>
      <c r="E157" s="614"/>
      <c r="F157" s="614"/>
      <c r="G157" s="1312">
        <v>100.98</v>
      </c>
      <c r="H157" s="614"/>
      <c r="I157" s="454"/>
    </row>
    <row r="158" spans="1:9" ht="15.6">
      <c r="A158" s="454">
        <v>151</v>
      </c>
      <c r="B158" s="455" t="s">
        <v>2223</v>
      </c>
      <c r="C158" s="454"/>
      <c r="D158" s="1245">
        <f>SUM(D146:D157)</f>
        <v>0</v>
      </c>
      <c r="E158" s="638"/>
      <c r="F158" s="638"/>
      <c r="G158" s="637">
        <f>SUM(G146:G157)</f>
        <v>3827.55</v>
      </c>
      <c r="H158" s="638"/>
      <c r="I158" s="454"/>
    </row>
    <row r="159" spans="1:9" ht="15.6">
      <c r="B159" s="465"/>
      <c r="I159" s="454"/>
    </row>
    <row r="160" spans="1:9" ht="15.6">
      <c r="B160" s="465"/>
      <c r="I160" s="454"/>
    </row>
    <row r="161" spans="2:9" ht="15.6">
      <c r="B161" s="465"/>
      <c r="I161" s="454"/>
    </row>
    <row r="162" spans="2:9" ht="15.6">
      <c r="B162" s="465"/>
      <c r="I162" s="454"/>
    </row>
    <row r="163" spans="2:9" ht="15.6">
      <c r="B163" s="465"/>
    </row>
    <row r="164" spans="2:9" ht="15.6">
      <c r="B164" s="465"/>
    </row>
    <row r="165" spans="2:9" ht="15.6">
      <c r="B165" s="465"/>
    </row>
    <row r="166" spans="2:9" ht="15.6">
      <c r="B166" s="465"/>
    </row>
    <row r="167" spans="2:9" ht="15.6">
      <c r="B167" s="465"/>
    </row>
    <row r="168" spans="2:9" ht="15.6">
      <c r="B168" s="465"/>
    </row>
    <row r="169" spans="2:9" ht="15.6">
      <c r="B169" s="465"/>
    </row>
    <row r="170" spans="2:9" ht="15.6">
      <c r="B170" s="465"/>
    </row>
    <row r="171" spans="2:9" ht="15.6">
      <c r="B171" s="465"/>
    </row>
    <row r="172" spans="2:9" ht="15.6">
      <c r="B172" s="465"/>
    </row>
    <row r="173" spans="2:9" ht="15.6">
      <c r="B173" s="465"/>
    </row>
    <row r="174" spans="2:9" ht="15.6">
      <c r="B174" s="465"/>
    </row>
    <row r="175" spans="2:9" ht="15.6">
      <c r="B175" s="465"/>
    </row>
    <row r="176" spans="2:9" ht="15.6">
      <c r="B176" s="465"/>
    </row>
    <row r="177" spans="2:2" ht="15.6">
      <c r="B177" s="465"/>
    </row>
    <row r="178" spans="2:2" ht="15.6">
      <c r="B178" s="465"/>
    </row>
    <row r="179" spans="2:2" ht="15.6">
      <c r="B179" s="465"/>
    </row>
    <row r="180" spans="2:2" ht="15.6">
      <c r="B180" s="465"/>
    </row>
    <row r="181" spans="2:2" ht="15.6">
      <c r="B181" s="465"/>
    </row>
    <row r="182" spans="2:2" ht="15.6">
      <c r="B182" s="465"/>
    </row>
    <row r="183" spans="2:2" ht="15.6">
      <c r="B183" s="465"/>
    </row>
    <row r="184" spans="2:2" ht="15.6">
      <c r="B184" s="465"/>
    </row>
    <row r="185" spans="2:2" ht="15.6">
      <c r="B185" s="465"/>
    </row>
    <row r="186" spans="2:2" ht="15.6">
      <c r="B186" s="465"/>
    </row>
    <row r="187" spans="2:2" ht="15.6">
      <c r="B187" s="465"/>
    </row>
    <row r="188" spans="2:2" ht="15.6">
      <c r="B188" s="465"/>
    </row>
    <row r="189" spans="2:2" ht="15.6">
      <c r="B189" s="465"/>
    </row>
    <row r="190" spans="2:2" ht="15.6">
      <c r="B190" s="465"/>
    </row>
    <row r="191" spans="2:2" ht="15.6">
      <c r="B191" s="465"/>
    </row>
    <row r="192" spans="2:2" ht="15.6">
      <c r="B192" s="465"/>
    </row>
    <row r="193" spans="2:2" ht="15.6">
      <c r="B193" s="465"/>
    </row>
    <row r="194" spans="2:2" ht="15.6">
      <c r="B194" s="465"/>
    </row>
    <row r="195" spans="2:2" ht="15.6">
      <c r="B195" s="465"/>
    </row>
    <row r="196" spans="2:2" ht="15.6">
      <c r="B196" s="465"/>
    </row>
    <row r="197" spans="2:2" ht="15.6">
      <c r="B197" s="465"/>
    </row>
    <row r="198" spans="2:2" ht="15.6">
      <c r="B198" s="465"/>
    </row>
    <row r="199" spans="2:2" ht="15.6">
      <c r="B199" s="465"/>
    </row>
    <row r="200" spans="2:2" ht="15.6">
      <c r="B200" s="465"/>
    </row>
    <row r="201" spans="2:2" ht="15.6">
      <c r="B201" s="465"/>
    </row>
    <row r="202" spans="2:2" ht="15.6">
      <c r="B202" s="465"/>
    </row>
    <row r="203" spans="2:2" ht="15.6">
      <c r="B203" s="465"/>
    </row>
    <row r="204" spans="2:2" ht="15.6">
      <c r="B204" s="465"/>
    </row>
    <row r="205" spans="2:2" ht="15.6">
      <c r="B205" s="465"/>
    </row>
    <row r="206" spans="2:2" ht="15.6">
      <c r="B206" s="465"/>
    </row>
    <row r="207" spans="2:2" ht="15.6">
      <c r="B207" s="465"/>
    </row>
    <row r="208" spans="2:2" ht="15.6">
      <c r="B208" s="465"/>
    </row>
    <row r="209" spans="2:2" ht="15.6">
      <c r="B209" s="465"/>
    </row>
    <row r="210" spans="2:2" ht="15.6">
      <c r="B210" s="465"/>
    </row>
    <row r="211" spans="2:2" ht="15.6">
      <c r="B211" s="465"/>
    </row>
    <row r="212" spans="2:2" ht="15.6">
      <c r="B212" s="465"/>
    </row>
    <row r="213" spans="2:2" ht="15.6">
      <c r="B213" s="465"/>
    </row>
    <row r="214" spans="2:2" ht="15.6">
      <c r="B214" s="465"/>
    </row>
    <row r="215" spans="2:2" ht="15.6">
      <c r="B215" s="465"/>
    </row>
    <row r="216" spans="2:2" ht="15.6">
      <c r="B216" s="465"/>
    </row>
    <row r="217" spans="2:2" ht="15.6">
      <c r="B217" s="465"/>
    </row>
    <row r="218" spans="2:2" ht="15.6">
      <c r="B218" s="465"/>
    </row>
    <row r="219" spans="2:2" ht="15.6">
      <c r="B219" s="465"/>
    </row>
    <row r="220" spans="2:2" ht="15.6">
      <c r="B220" s="465"/>
    </row>
    <row r="221" spans="2:2" ht="15.6">
      <c r="B221" s="465"/>
    </row>
    <row r="222" spans="2:2" ht="15.6">
      <c r="B222" s="465"/>
    </row>
    <row r="223" spans="2:2" ht="15.6">
      <c r="B223" s="465"/>
    </row>
    <row r="224" spans="2:2" ht="15.6">
      <c r="B224" s="465"/>
    </row>
    <row r="225" spans="2:2" ht="15.6">
      <c r="B225" s="465"/>
    </row>
    <row r="226" spans="2:2" ht="15.6">
      <c r="B226" s="465"/>
    </row>
    <row r="227" spans="2:2" ht="15.6">
      <c r="B227" s="465"/>
    </row>
    <row r="228" spans="2:2" ht="15.6">
      <c r="B228" s="465"/>
    </row>
    <row r="229" spans="2:2" ht="15.6">
      <c r="B229" s="465"/>
    </row>
    <row r="230" spans="2:2" ht="15.6">
      <c r="B230" s="465"/>
    </row>
    <row r="231" spans="2:2" ht="15.6">
      <c r="B231" s="465"/>
    </row>
    <row r="232" spans="2:2" ht="15.6">
      <c r="B232" s="465"/>
    </row>
    <row r="233" spans="2:2" ht="15.6">
      <c r="B233" s="465"/>
    </row>
    <row r="234" spans="2:2" ht="15.6">
      <c r="B234" s="465"/>
    </row>
    <row r="235" spans="2:2" ht="15.6">
      <c r="B235" s="465"/>
    </row>
    <row r="236" spans="2:2" ht="15.6">
      <c r="B236" s="465"/>
    </row>
    <row r="237" spans="2:2" ht="15.6">
      <c r="B237" s="465"/>
    </row>
    <row r="238" spans="2:2" ht="15.6">
      <c r="B238" s="465"/>
    </row>
    <row r="239" spans="2:2" ht="15.6">
      <c r="B239" s="465"/>
    </row>
    <row r="240" spans="2:2" ht="15.6">
      <c r="B240" s="465"/>
    </row>
    <row r="241" spans="2:2" ht="15.6">
      <c r="B241" s="465"/>
    </row>
    <row r="242" spans="2:2" ht="15.6">
      <c r="B242" s="465"/>
    </row>
    <row r="243" spans="2:2" ht="15.6">
      <c r="B243" s="465"/>
    </row>
    <row r="244" spans="2:2" ht="15.6">
      <c r="B244" s="465"/>
    </row>
    <row r="245" spans="2:2" ht="15.6">
      <c r="B245" s="465"/>
    </row>
    <row r="246" spans="2:2" ht="15.6">
      <c r="B246" s="465"/>
    </row>
    <row r="247" spans="2:2" ht="15.6">
      <c r="B247" s="465"/>
    </row>
    <row r="248" spans="2:2" ht="15.6">
      <c r="B248" s="465"/>
    </row>
    <row r="249" spans="2:2" ht="15.6">
      <c r="B249" s="465"/>
    </row>
    <row r="250" spans="2:2" ht="15.6">
      <c r="B250" s="465"/>
    </row>
    <row r="251" spans="2:2" ht="15.6">
      <c r="B251" s="465"/>
    </row>
    <row r="252" spans="2:2" ht="15.6">
      <c r="B252" s="465"/>
    </row>
    <row r="253" spans="2:2" ht="15.6">
      <c r="B253" s="465"/>
    </row>
    <row r="254" spans="2:2" ht="15.6">
      <c r="B254" s="465"/>
    </row>
    <row r="255" spans="2:2" ht="15.6">
      <c r="B255" s="465"/>
    </row>
    <row r="256" spans="2:2" ht="15.6">
      <c r="B256" s="465"/>
    </row>
    <row r="257" spans="2:2" ht="15.6">
      <c r="B257" s="465"/>
    </row>
    <row r="258" spans="2:2" ht="15.6">
      <c r="B258" s="465"/>
    </row>
    <row r="259" spans="2:2" ht="15.6">
      <c r="B259" s="465"/>
    </row>
    <row r="260" spans="2:2" ht="15.6">
      <c r="B260" s="465"/>
    </row>
    <row r="261" spans="2:2" ht="15.6">
      <c r="B261" s="465"/>
    </row>
    <row r="262" spans="2:2" ht="15.6">
      <c r="B262" s="465"/>
    </row>
    <row r="263" spans="2:2" ht="15.6">
      <c r="B263" s="465"/>
    </row>
    <row r="264" spans="2:2" ht="15.6">
      <c r="B264" s="465"/>
    </row>
    <row r="265" spans="2:2" ht="15.6">
      <c r="B265" s="465"/>
    </row>
  </sheetData>
  <sheetProtection sheet="1" objects="1" scenarios="1"/>
  <mergeCells count="3">
    <mergeCell ref="A3:E3"/>
    <mergeCell ref="A1:H1"/>
    <mergeCell ref="A2:H2"/>
  </mergeCells>
  <pageMargins left="0.7" right="0.7" top="0.75" bottom="0.75" header="0.3" footer="0.3"/>
  <pageSetup scale="66" fitToHeight="0" orientation="landscape" r:id="rId1"/>
  <headerFooter>
    <oddHeader>&amp;C&amp;"Times New Roman,Bold"&amp;14ATTACHMENT D, Page &amp;P of &amp;N
EVERGY</oddHeader>
    <oddFooter>&amp;R&amp;1#&amp;"Calibri"&amp;10&amp;KA80000Internal Use Only</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pageSetUpPr fitToPage="1"/>
  </sheetPr>
  <dimension ref="A1:J19"/>
  <sheetViews>
    <sheetView view="pageBreakPreview" zoomScale="90" zoomScaleNormal="100" zoomScaleSheetLayoutView="90" workbookViewId="0">
      <selection sqref="A1:H1"/>
    </sheetView>
  </sheetViews>
  <sheetFormatPr defaultRowHeight="13.2"/>
  <cols>
    <col min="1" max="1" width="6.6640625" customWidth="1"/>
    <col min="2" max="4" width="19.6640625" customWidth="1"/>
    <col min="5" max="5" width="15.6640625" customWidth="1"/>
    <col min="6" max="6" width="4.6640625" customWidth="1"/>
    <col min="7" max="7" width="15.6640625" customWidth="1"/>
    <col min="8" max="8" width="6.6640625" customWidth="1"/>
  </cols>
  <sheetData>
    <row r="1" spans="1:10" ht="21">
      <c r="A1" s="1730" t="s">
        <v>592</v>
      </c>
      <c r="B1" s="1784"/>
      <c r="C1" s="1784"/>
      <c r="D1" s="1784"/>
      <c r="E1" s="1784"/>
      <c r="F1" s="1784"/>
      <c r="G1" s="1784"/>
      <c r="H1" s="1784"/>
    </row>
    <row r="2" spans="1:10" ht="18">
      <c r="A2" s="1800" t="str">
        <f>' Net Monthly Bill'!A2:B2</f>
        <v>For Contract Year Beginning June 1, 2024, Based on 2023 Data</v>
      </c>
      <c r="B2" s="1718"/>
      <c r="C2" s="1718"/>
      <c r="D2" s="1718"/>
      <c r="E2" s="1718"/>
      <c r="F2" s="1718"/>
      <c r="G2" s="1718"/>
      <c r="H2" s="1718"/>
    </row>
    <row r="3" spans="1:10" ht="15.6">
      <c r="A3" s="642"/>
      <c r="B3" s="642"/>
      <c r="C3" s="642"/>
      <c r="D3" s="642"/>
      <c r="E3" s="642"/>
      <c r="F3" s="642"/>
      <c r="G3" s="642"/>
      <c r="H3" s="960"/>
    </row>
    <row r="4" spans="1:10" ht="15.6">
      <c r="A4" s="642"/>
      <c r="B4" s="642"/>
      <c r="C4" s="642"/>
      <c r="D4" s="642"/>
      <c r="E4" s="687" t="s">
        <v>2892</v>
      </c>
      <c r="F4" s="687"/>
      <c r="G4" s="687" t="s">
        <v>2893</v>
      </c>
      <c r="H4" s="960"/>
    </row>
    <row r="5" spans="1:10" ht="15.6">
      <c r="A5" s="702">
        <v>1</v>
      </c>
      <c r="B5" s="642" t="s">
        <v>1202</v>
      </c>
      <c r="C5" s="642"/>
      <c r="D5" s="642"/>
      <c r="E5" s="978">
        <f>'Form 1 Inputs'!D66</f>
        <v>2159700</v>
      </c>
      <c r="F5" s="978"/>
      <c r="G5" s="978">
        <f>'Form 1 Inputs'!E66</f>
        <v>1682927</v>
      </c>
      <c r="H5" s="960"/>
    </row>
    <row r="6" spans="1:10" ht="15.6">
      <c r="A6" s="702"/>
      <c r="B6" s="642"/>
      <c r="C6" s="642"/>
      <c r="D6" s="642"/>
      <c r="E6" s="979"/>
      <c r="F6" s="979"/>
      <c r="G6" s="979"/>
      <c r="H6" s="960"/>
    </row>
    <row r="7" spans="1:10" ht="18.600000000000001">
      <c r="A7" s="702">
        <v>2</v>
      </c>
      <c r="B7" s="642" t="s">
        <v>790</v>
      </c>
      <c r="C7" s="642"/>
      <c r="D7" s="642"/>
      <c r="E7" s="588">
        <v>0</v>
      </c>
      <c r="F7" s="980"/>
      <c r="G7" s="588">
        <v>0</v>
      </c>
      <c r="H7" s="960"/>
      <c r="I7" s="92"/>
    </row>
    <row r="8" spans="1:10" ht="15.6">
      <c r="A8" s="702"/>
      <c r="B8" s="642"/>
      <c r="C8" s="642"/>
      <c r="D8" s="642"/>
      <c r="E8" s="979"/>
      <c r="F8" s="979"/>
      <c r="G8" s="979"/>
      <c r="H8" s="960"/>
    </row>
    <row r="9" spans="1:10" ht="15.6">
      <c r="A9" s="702">
        <v>3</v>
      </c>
      <c r="B9" s="572" t="s">
        <v>385</v>
      </c>
      <c r="C9" s="642"/>
      <c r="D9" s="642"/>
      <c r="E9" s="589">
        <v>0</v>
      </c>
      <c r="F9" s="981"/>
      <c r="G9" s="589">
        <v>0</v>
      </c>
      <c r="H9" s="960"/>
      <c r="I9" s="92"/>
    </row>
    <row r="10" spans="1:10" ht="15.6">
      <c r="A10" s="702"/>
      <c r="B10" s="642"/>
      <c r="C10" s="642"/>
      <c r="D10" s="642"/>
      <c r="E10" s="979"/>
      <c r="F10" s="979"/>
      <c r="G10" s="979"/>
      <c r="H10" s="960"/>
    </row>
    <row r="11" spans="1:10" ht="15.6">
      <c r="A11" s="702">
        <v>4</v>
      </c>
      <c r="B11" s="642" t="s">
        <v>1164</v>
      </c>
      <c r="C11" s="642"/>
      <c r="D11" s="642"/>
      <c r="E11" s="982">
        <f>SUM(E5:E9)</f>
        <v>2159700</v>
      </c>
      <c r="F11" s="983"/>
      <c r="G11" s="984">
        <f>SUM(G5:G9)</f>
        <v>1682927</v>
      </c>
      <c r="H11" s="960"/>
    </row>
    <row r="12" spans="1:10" ht="15.6">
      <c r="A12" s="702"/>
      <c r="B12" s="642"/>
      <c r="C12" s="642"/>
      <c r="D12" s="642"/>
      <c r="E12" s="1746" t="s">
        <v>1606</v>
      </c>
      <c r="F12" s="1746"/>
      <c r="G12" s="1746"/>
      <c r="H12" s="960"/>
    </row>
    <row r="13" spans="1:10" ht="15.6">
      <c r="A13" s="702"/>
      <c r="B13" s="642"/>
      <c r="C13" s="642"/>
      <c r="D13" s="642"/>
      <c r="E13" s="642"/>
      <c r="F13" s="642"/>
      <c r="G13" s="642"/>
      <c r="H13" s="960"/>
    </row>
    <row r="14" spans="1:10" ht="15.6">
      <c r="A14" s="985" t="s">
        <v>388</v>
      </c>
      <c r="B14" s="960"/>
      <c r="C14" s="960"/>
      <c r="D14" s="960"/>
      <c r="E14" s="960"/>
      <c r="F14" s="960"/>
      <c r="G14" s="960"/>
      <c r="H14" s="960"/>
    </row>
    <row r="15" spans="1:10" ht="18.600000000000001">
      <c r="A15" s="591" t="s">
        <v>791</v>
      </c>
      <c r="B15" s="590"/>
      <c r="C15" s="960"/>
      <c r="D15" s="960"/>
      <c r="E15" s="960"/>
      <c r="F15" s="960"/>
      <c r="G15" s="960"/>
      <c r="H15" s="960"/>
      <c r="J15" s="112"/>
    </row>
    <row r="16" spans="1:10" ht="15.6">
      <c r="A16" s="2"/>
    </row>
    <row r="19" spans="1:1" ht="18.600000000000001">
      <c r="A19" s="176"/>
    </row>
  </sheetData>
  <sheetProtection sheet="1"/>
  <mergeCells count="3">
    <mergeCell ref="A1:H1"/>
    <mergeCell ref="A2:H2"/>
    <mergeCell ref="E12:G12"/>
  </mergeCells>
  <phoneticPr fontId="26" type="noConversion"/>
  <printOptions horizontalCentered="1"/>
  <pageMargins left="0.75" right="0.75" top="0.95" bottom="1" header="0.5" footer="0.5"/>
  <pageSetup scale="84" orientation="portrait" r:id="rId1"/>
  <headerFooter alignWithMargins="0">
    <oddHeader>&amp;C&amp;"Times New Roman,Bold"&amp;16ATTACHMENT D, Page &amp;P of &amp;N
EVERGY</oddHeader>
    <oddFooter>&amp;R&amp;1#&amp;"Calibri"&amp;10&amp;KA80000Internal Use Only</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dimension ref="A1:IP67"/>
  <sheetViews>
    <sheetView view="pageBreakPreview" zoomScale="80" zoomScaleNormal="100" zoomScaleSheetLayoutView="80" workbookViewId="0">
      <selection sqref="A1:W1"/>
    </sheetView>
  </sheetViews>
  <sheetFormatPr defaultColWidth="12.44140625" defaultRowHeight="13.2"/>
  <cols>
    <col min="1" max="1" width="5" style="39" customWidth="1"/>
    <col min="2" max="2" width="8" style="52" customWidth="1"/>
    <col min="3" max="3" width="8.33203125" style="52" customWidth="1"/>
    <col min="4" max="5" width="5.88671875" style="52" customWidth="1"/>
    <col min="6" max="6" width="8.6640625" style="52" customWidth="1"/>
    <col min="7" max="7" width="6.5546875" style="52" customWidth="1"/>
    <col min="8" max="8" width="8.6640625" style="52" customWidth="1"/>
    <col min="9" max="10" width="6.6640625" style="52" customWidth="1"/>
    <col min="11" max="11" width="8.6640625" style="52" customWidth="1"/>
    <col min="12" max="12" width="7.33203125" style="52" customWidth="1"/>
    <col min="13" max="13" width="7.6640625" style="52" customWidth="1"/>
    <col min="14" max="14" width="8.88671875" style="52" customWidth="1"/>
    <col min="15" max="15" width="8.6640625" style="52" customWidth="1"/>
    <col min="16" max="22" width="7.109375" style="52" customWidth="1"/>
    <col min="23" max="23" width="8.88671875" style="52" customWidth="1"/>
    <col min="24" max="24" width="1.6640625" style="52" customWidth="1"/>
    <col min="25" max="28" width="7.33203125" style="52" customWidth="1"/>
    <col min="29" max="29" width="6.88671875" style="53" customWidth="1"/>
    <col min="30" max="32" width="6" style="52" customWidth="1"/>
    <col min="33" max="36" width="6.6640625" style="52" customWidth="1"/>
    <col min="37" max="37" width="8.88671875" style="52" customWidth="1"/>
    <col min="38" max="38" width="1.6640625" style="52" customWidth="1"/>
    <col min="39" max="41" width="6.33203125" style="52" customWidth="1"/>
    <col min="42" max="42" width="8.88671875" style="52" customWidth="1"/>
    <col min="43" max="44" width="8.109375" style="52" customWidth="1"/>
    <col min="45" max="45" width="9" style="52" customWidth="1"/>
    <col min="46" max="47" width="8.109375" style="52" customWidth="1"/>
    <col min="48" max="48" width="9.33203125" style="52" customWidth="1"/>
    <col min="49" max="50" width="8.109375" style="52" customWidth="1"/>
    <col min="51" max="51" width="9.5546875" style="52" customWidth="1"/>
    <col min="52" max="53" width="8.5546875" style="52" customWidth="1"/>
    <col min="54" max="54" width="1.6640625" style="52" customWidth="1"/>
    <col min="55" max="55" width="0.33203125" style="52" customWidth="1"/>
    <col min="56" max="56" width="9.6640625" style="52" customWidth="1"/>
    <col min="57" max="16384" width="12.44140625" style="52"/>
  </cols>
  <sheetData>
    <row r="1" spans="1:59" ht="22.8">
      <c r="A1" s="1730" t="s">
        <v>1167</v>
      </c>
      <c r="B1" s="1730"/>
      <c r="C1" s="1730"/>
      <c r="D1" s="1730"/>
      <c r="E1" s="1730"/>
      <c r="F1" s="1730"/>
      <c r="G1" s="1730"/>
      <c r="H1" s="1730"/>
      <c r="I1" s="1730"/>
      <c r="J1" s="1730"/>
      <c r="K1" s="1730"/>
      <c r="L1" s="1730"/>
      <c r="M1" s="1730"/>
      <c r="N1" s="1730"/>
      <c r="O1" s="1730"/>
      <c r="P1" s="1730"/>
      <c r="Q1" s="1730"/>
      <c r="R1" s="1730"/>
      <c r="S1" s="1730"/>
      <c r="T1" s="1730"/>
      <c r="U1" s="1730"/>
      <c r="V1" s="1730"/>
      <c r="W1" s="1730"/>
      <c r="X1" s="1730" t="s">
        <v>1167</v>
      </c>
      <c r="Y1" s="1730"/>
      <c r="Z1" s="1730"/>
      <c r="AA1" s="1730"/>
      <c r="AB1" s="1730"/>
      <c r="AC1" s="1730"/>
      <c r="AD1" s="1730"/>
      <c r="AE1" s="1730"/>
      <c r="AF1" s="1730"/>
      <c r="AG1" s="1730"/>
      <c r="AH1" s="1730"/>
      <c r="AI1" s="1730"/>
      <c r="AJ1" s="1730"/>
      <c r="AK1" s="1730"/>
      <c r="AL1" s="1730"/>
      <c r="AM1" s="1730" t="s">
        <v>1167</v>
      </c>
      <c r="AN1" s="1730"/>
      <c r="AO1" s="1730"/>
      <c r="AP1" s="1730"/>
      <c r="AQ1" s="1730"/>
      <c r="AR1" s="1730"/>
      <c r="AS1" s="1730"/>
      <c r="AT1" s="1730"/>
      <c r="AU1" s="1730"/>
      <c r="AV1" s="1730"/>
      <c r="AW1" s="1730"/>
      <c r="AX1" s="1730"/>
      <c r="AY1" s="1730"/>
      <c r="AZ1" s="1730"/>
      <c r="BA1" s="1730"/>
      <c r="BB1" s="1730"/>
      <c r="BC1" s="1730"/>
      <c r="BD1" s="281"/>
    </row>
    <row r="2" spans="1:59" ht="19.2">
      <c r="A2" s="1731" t="s">
        <v>2764</v>
      </c>
      <c r="B2" s="1731"/>
      <c r="C2" s="1731"/>
      <c r="D2" s="1731"/>
      <c r="E2" s="1731"/>
      <c r="F2" s="1731"/>
      <c r="G2" s="1731"/>
      <c r="H2" s="1731"/>
      <c r="I2" s="1731"/>
      <c r="J2" s="1731"/>
      <c r="K2" s="1731"/>
      <c r="L2" s="1731"/>
      <c r="M2" s="1731"/>
      <c r="N2" s="1731"/>
      <c r="O2" s="1731"/>
      <c r="P2" s="1731"/>
      <c r="Q2" s="1731"/>
      <c r="R2" s="1731"/>
      <c r="S2" s="1731"/>
      <c r="T2" s="1731"/>
      <c r="U2" s="1731"/>
      <c r="V2" s="1731"/>
      <c r="W2" s="1731"/>
      <c r="X2" s="1731" t="str">
        <f>A2</f>
        <v>Based on 2018 Data</v>
      </c>
      <c r="Y2" s="1731"/>
      <c r="Z2" s="1731"/>
      <c r="AA2" s="1731"/>
      <c r="AB2" s="1731"/>
      <c r="AC2" s="1731"/>
      <c r="AD2" s="1731"/>
      <c r="AE2" s="1731"/>
      <c r="AF2" s="1731"/>
      <c r="AG2" s="1731"/>
      <c r="AH2" s="1731"/>
      <c r="AI2" s="1731"/>
      <c r="AJ2" s="1731"/>
      <c r="AK2" s="1731"/>
      <c r="AL2" s="1731"/>
      <c r="AM2" s="1731" t="str">
        <f>A2</f>
        <v>Based on 2018 Data</v>
      </c>
      <c r="AN2" s="1731"/>
      <c r="AO2" s="1731"/>
      <c r="AP2" s="1731"/>
      <c r="AQ2" s="1731"/>
      <c r="AR2" s="1731"/>
      <c r="AS2" s="1731"/>
      <c r="AT2" s="1731"/>
      <c r="AU2" s="1731"/>
      <c r="AV2" s="1731"/>
      <c r="AW2" s="1731"/>
      <c r="AX2" s="1731"/>
      <c r="AY2" s="1731"/>
      <c r="AZ2" s="1731"/>
      <c r="BA2" s="1731"/>
      <c r="BB2" s="1731"/>
      <c r="BC2" s="1731"/>
      <c r="BD2" s="281"/>
    </row>
    <row r="3" spans="1:59" ht="15.6">
      <c r="A3" s="251"/>
      <c r="B3" s="252"/>
      <c r="C3" s="252"/>
      <c r="D3" s="252"/>
      <c r="E3" s="252"/>
      <c r="F3" s="252"/>
      <c r="G3" s="252"/>
      <c r="H3" s="252"/>
      <c r="I3" s="252"/>
      <c r="J3" s="252"/>
      <c r="K3" s="252"/>
      <c r="L3" s="252"/>
      <c r="M3" s="252"/>
      <c r="N3" s="252"/>
      <c r="O3" s="252"/>
      <c r="P3" s="252"/>
      <c r="Q3" s="252"/>
      <c r="R3" s="252"/>
      <c r="S3" s="252"/>
      <c r="T3" s="252"/>
      <c r="U3" s="252"/>
      <c r="V3" s="252"/>
      <c r="W3" s="252"/>
      <c r="X3" s="252"/>
      <c r="Y3" s="252"/>
      <c r="Z3" s="252"/>
      <c r="AA3" s="252"/>
      <c r="AB3" s="252"/>
      <c r="AC3" s="252"/>
      <c r="AD3" s="253"/>
      <c r="AE3" s="253"/>
      <c r="AF3" s="253"/>
      <c r="AG3" s="253"/>
      <c r="AH3" s="253"/>
      <c r="AI3" s="253"/>
      <c r="AJ3" s="253"/>
      <c r="AK3" s="253"/>
      <c r="AL3" s="253"/>
      <c r="BB3" s="52" t="s">
        <v>476</v>
      </c>
    </row>
    <row r="4" spans="1:59" ht="18.600000000000001">
      <c r="A4" s="254"/>
      <c r="B4" s="254"/>
      <c r="C4" s="1801" t="s">
        <v>3037</v>
      </c>
      <c r="D4" s="1801"/>
      <c r="E4" s="1801"/>
      <c r="F4" s="1801"/>
      <c r="G4" s="1801"/>
      <c r="H4" s="1801"/>
      <c r="I4" s="1801"/>
      <c r="J4" s="1801"/>
      <c r="K4" s="1801"/>
      <c r="L4" s="1801"/>
      <c r="M4" s="1801"/>
      <c r="N4" s="1801"/>
      <c r="O4" s="1801"/>
      <c r="P4" s="1801"/>
      <c r="Q4" s="1801"/>
      <c r="R4" s="1801"/>
      <c r="S4" s="1801"/>
      <c r="T4" s="1801"/>
      <c r="U4" s="1801"/>
      <c r="V4" s="1801"/>
      <c r="W4" s="1801"/>
      <c r="X4" s="1801" t="s">
        <v>3037</v>
      </c>
      <c r="Y4" s="1801"/>
      <c r="Z4" s="1801"/>
      <c r="AA4" s="1801"/>
      <c r="AB4" s="1801"/>
      <c r="AC4" s="1801"/>
      <c r="AD4" s="1801"/>
      <c r="AE4" s="1801"/>
      <c r="AF4" s="1801"/>
      <c r="AG4" s="1801"/>
      <c r="AH4" s="1801"/>
      <c r="AI4" s="1801"/>
      <c r="AJ4" s="1801"/>
      <c r="AK4" s="1801"/>
      <c r="AL4" s="253"/>
      <c r="AM4" s="1801" t="s">
        <v>3038</v>
      </c>
      <c r="AN4" s="1801"/>
      <c r="AO4" s="1801"/>
      <c r="AP4" s="1801"/>
      <c r="AQ4" s="1801"/>
      <c r="AR4" s="1801"/>
      <c r="AS4" s="1801"/>
      <c r="AT4" s="1801"/>
      <c r="AU4" s="1801"/>
      <c r="AV4" s="1801"/>
      <c r="AW4" s="1801"/>
      <c r="AX4" s="1801"/>
      <c r="AY4" s="1801"/>
      <c r="AZ4" s="1801"/>
      <c r="BA4" s="1801"/>
      <c r="BB4" s="1801"/>
      <c r="BC4" s="1801"/>
      <c r="BD4" s="280"/>
      <c r="BE4" s="24"/>
      <c r="BF4" s="24"/>
      <c r="BG4" s="24"/>
    </row>
    <row r="5" spans="1:59" ht="47.25" customHeight="1">
      <c r="A5" s="276" t="s">
        <v>531</v>
      </c>
      <c r="B5" s="276" t="s">
        <v>694</v>
      </c>
      <c r="C5" s="275" t="s">
        <v>1910</v>
      </c>
      <c r="D5" s="275" t="s">
        <v>1911</v>
      </c>
      <c r="E5" s="275" t="s">
        <v>1912</v>
      </c>
      <c r="F5" s="275" t="s">
        <v>1913</v>
      </c>
      <c r="G5" s="275" t="s">
        <v>1914</v>
      </c>
      <c r="H5" s="275" t="s">
        <v>1915</v>
      </c>
      <c r="I5" s="275" t="s">
        <v>1916</v>
      </c>
      <c r="J5" s="275" t="s">
        <v>1917</v>
      </c>
      <c r="K5" s="275" t="s">
        <v>1918</v>
      </c>
      <c r="L5" s="275" t="s">
        <v>1919</v>
      </c>
      <c r="M5" s="275" t="s">
        <v>1920</v>
      </c>
      <c r="N5" s="275" t="s">
        <v>1921</v>
      </c>
      <c r="O5" s="275" t="s">
        <v>1922</v>
      </c>
      <c r="P5" s="275" t="s">
        <v>1923</v>
      </c>
      <c r="Q5" s="275" t="s">
        <v>1924</v>
      </c>
      <c r="R5" s="275" t="s">
        <v>1925</v>
      </c>
      <c r="S5" s="275" t="s">
        <v>1926</v>
      </c>
      <c r="T5" s="275" t="s">
        <v>1927</v>
      </c>
      <c r="U5" s="275" t="s">
        <v>1928</v>
      </c>
      <c r="V5" s="275" t="s">
        <v>1929</v>
      </c>
      <c r="W5" s="275" t="s">
        <v>1930</v>
      </c>
      <c r="X5" s="275"/>
      <c r="Y5" s="275" t="s">
        <v>1931</v>
      </c>
      <c r="Z5" s="275" t="s">
        <v>1932</v>
      </c>
      <c r="AA5" s="275" t="s">
        <v>1933</v>
      </c>
      <c r="AB5" s="275" t="s">
        <v>1934</v>
      </c>
      <c r="AC5" s="275" t="s">
        <v>2762</v>
      </c>
      <c r="AD5" s="275" t="s">
        <v>189</v>
      </c>
      <c r="AE5" s="275" t="s">
        <v>190</v>
      </c>
      <c r="AF5" s="275" t="s">
        <v>3097</v>
      </c>
      <c r="AG5" s="276" t="s">
        <v>1935</v>
      </c>
      <c r="AH5" s="276" t="s">
        <v>1936</v>
      </c>
      <c r="AI5" s="276" t="s">
        <v>1937</v>
      </c>
      <c r="AJ5" s="276" t="s">
        <v>1938</v>
      </c>
      <c r="AK5" s="276" t="s">
        <v>1939</v>
      </c>
      <c r="AL5" s="274"/>
      <c r="AM5" s="276" t="s">
        <v>1910</v>
      </c>
      <c r="AN5" s="276" t="s">
        <v>1911</v>
      </c>
      <c r="AO5" s="276" t="s">
        <v>1912</v>
      </c>
      <c r="AP5" s="276" t="s">
        <v>1913</v>
      </c>
      <c r="AQ5" s="276" t="s">
        <v>1940</v>
      </c>
      <c r="AR5" s="276" t="s">
        <v>684</v>
      </c>
      <c r="AS5" s="276" t="s">
        <v>1865</v>
      </c>
      <c r="AT5" s="276" t="s">
        <v>1941</v>
      </c>
      <c r="AU5" s="276" t="s">
        <v>1942</v>
      </c>
      <c r="AV5" s="276" t="s">
        <v>1943</v>
      </c>
      <c r="AW5" s="276" t="s">
        <v>1944</v>
      </c>
      <c r="AX5" s="276" t="s">
        <v>1945</v>
      </c>
      <c r="AY5" s="276" t="s">
        <v>1946</v>
      </c>
      <c r="AZ5" s="276" t="s">
        <v>685</v>
      </c>
      <c r="BA5" s="276" t="s">
        <v>3098</v>
      </c>
      <c r="BC5" s="276"/>
      <c r="BD5" s="277"/>
      <c r="BE5" s="277"/>
      <c r="BF5" s="277"/>
      <c r="BG5" s="277"/>
    </row>
    <row r="6" spans="1:59" ht="15.6">
      <c r="A6" s="256">
        <v>1</v>
      </c>
      <c r="B6" s="257">
        <v>311</v>
      </c>
      <c r="C6" s="251">
        <v>2.4700000000000002</v>
      </c>
      <c r="D6" s="251">
        <v>1.98</v>
      </c>
      <c r="E6" s="251">
        <v>2.1</v>
      </c>
      <c r="F6" s="251">
        <v>2.83</v>
      </c>
      <c r="G6" s="251">
        <v>2.67</v>
      </c>
      <c r="H6" s="251">
        <v>6.19</v>
      </c>
      <c r="I6" s="251">
        <v>4.97</v>
      </c>
      <c r="J6" s="251">
        <v>4.5</v>
      </c>
      <c r="K6" s="251">
        <v>4.7300000000000004</v>
      </c>
      <c r="L6" s="251">
        <v>0</v>
      </c>
      <c r="M6" s="251">
        <v>0</v>
      </c>
      <c r="N6" s="251">
        <v>0</v>
      </c>
      <c r="O6" s="251">
        <v>0</v>
      </c>
      <c r="P6" s="251">
        <v>0</v>
      </c>
      <c r="Q6" s="251">
        <v>0</v>
      </c>
      <c r="R6" s="251">
        <v>0</v>
      </c>
      <c r="S6" s="251">
        <v>0</v>
      </c>
      <c r="T6" s="251">
        <v>0</v>
      </c>
      <c r="U6" s="251">
        <v>0</v>
      </c>
      <c r="V6" s="251">
        <v>0</v>
      </c>
      <c r="W6" s="251">
        <v>0</v>
      </c>
      <c r="X6" s="251"/>
      <c r="Y6" s="251">
        <v>0</v>
      </c>
      <c r="Z6" s="251">
        <v>0</v>
      </c>
      <c r="AA6" s="251">
        <v>0</v>
      </c>
      <c r="AB6" s="251">
        <v>0</v>
      </c>
      <c r="AC6" s="251">
        <v>0</v>
      </c>
      <c r="AD6" s="251">
        <v>0</v>
      </c>
      <c r="AE6" s="251">
        <v>0</v>
      </c>
      <c r="AF6" s="251">
        <v>0</v>
      </c>
      <c r="AG6" s="251">
        <v>0</v>
      </c>
      <c r="AH6" s="251">
        <v>0</v>
      </c>
      <c r="AI6" s="251">
        <v>0</v>
      </c>
      <c r="AJ6" s="251">
        <v>0</v>
      </c>
      <c r="AK6" s="251">
        <v>0</v>
      </c>
      <c r="AL6" s="253"/>
      <c r="AM6" s="251">
        <v>2.08</v>
      </c>
      <c r="AN6" s="251">
        <v>1.48</v>
      </c>
      <c r="AO6" s="251">
        <v>1.62</v>
      </c>
      <c r="AP6" s="251">
        <v>2.35</v>
      </c>
      <c r="AQ6" s="251">
        <v>1.84</v>
      </c>
      <c r="AR6" s="251">
        <v>2.59</v>
      </c>
      <c r="AS6" s="251">
        <v>3.7</v>
      </c>
      <c r="AT6" s="251">
        <v>-7.0000000000000007E-2</v>
      </c>
      <c r="AU6" s="251">
        <v>0.08</v>
      </c>
      <c r="AV6" s="251">
        <v>2.67</v>
      </c>
      <c r="AW6" s="251">
        <v>0.57999999999999996</v>
      </c>
      <c r="AX6" s="251">
        <v>1.42</v>
      </c>
      <c r="AY6" s="251">
        <v>2.5499999999999998</v>
      </c>
      <c r="AZ6" s="251">
        <v>0</v>
      </c>
      <c r="BA6" s="251">
        <v>0</v>
      </c>
      <c r="BC6" s="251"/>
    </row>
    <row r="7" spans="1:59" ht="15.6">
      <c r="A7" s="256">
        <f>A6+1</f>
        <v>2</v>
      </c>
      <c r="B7" s="257">
        <v>312</v>
      </c>
      <c r="C7" s="251">
        <v>2.69</v>
      </c>
      <c r="D7" s="251">
        <v>2.66</v>
      </c>
      <c r="E7" s="251">
        <v>2.6</v>
      </c>
      <c r="F7" s="251">
        <v>3.38</v>
      </c>
      <c r="G7" s="251">
        <v>5.95</v>
      </c>
      <c r="H7" s="251">
        <v>6.31</v>
      </c>
      <c r="I7" s="251">
        <v>3.97</v>
      </c>
      <c r="J7" s="251">
        <v>3.63</v>
      </c>
      <c r="K7" s="251">
        <v>5.18</v>
      </c>
      <c r="L7" s="251">
        <v>0</v>
      </c>
      <c r="M7" s="251">
        <v>0</v>
      </c>
      <c r="N7" s="251">
        <v>0</v>
      </c>
      <c r="O7" s="251">
        <v>0</v>
      </c>
      <c r="P7" s="251">
        <v>0</v>
      </c>
      <c r="Q7" s="251">
        <v>0</v>
      </c>
      <c r="R7" s="251">
        <v>0</v>
      </c>
      <c r="S7" s="251">
        <v>0</v>
      </c>
      <c r="T7" s="251">
        <v>0</v>
      </c>
      <c r="U7" s="251">
        <v>0</v>
      </c>
      <c r="V7" s="251">
        <v>0</v>
      </c>
      <c r="W7" s="251">
        <v>0</v>
      </c>
      <c r="X7" s="251"/>
      <c r="Y7" s="251">
        <v>0</v>
      </c>
      <c r="Z7" s="251">
        <v>0</v>
      </c>
      <c r="AA7" s="251">
        <v>0</v>
      </c>
      <c r="AB7" s="251">
        <v>0</v>
      </c>
      <c r="AC7" s="251">
        <v>0</v>
      </c>
      <c r="AD7" s="251">
        <v>0</v>
      </c>
      <c r="AE7" s="251">
        <v>0</v>
      </c>
      <c r="AF7" s="251">
        <v>0</v>
      </c>
      <c r="AG7" s="251">
        <v>0</v>
      </c>
      <c r="AH7" s="251">
        <v>0</v>
      </c>
      <c r="AI7" s="251">
        <v>0</v>
      </c>
      <c r="AJ7" s="251">
        <v>0</v>
      </c>
      <c r="AK7" s="251">
        <v>0</v>
      </c>
      <c r="AL7" s="253"/>
      <c r="AM7" s="251">
        <v>2.2400000000000002</v>
      </c>
      <c r="AN7" s="251">
        <v>2.2200000000000002</v>
      </c>
      <c r="AO7" s="251">
        <v>2.17</v>
      </c>
      <c r="AP7" s="251">
        <v>3.09</v>
      </c>
      <c r="AQ7" s="251">
        <v>3.21</v>
      </c>
      <c r="AR7" s="251">
        <v>2.36</v>
      </c>
      <c r="AS7" s="251">
        <v>4</v>
      </c>
      <c r="AT7" s="251">
        <v>3.95</v>
      </c>
      <c r="AU7" s="251">
        <v>2.66</v>
      </c>
      <c r="AV7" s="251">
        <v>2.41</v>
      </c>
      <c r="AW7" s="251">
        <v>2.93</v>
      </c>
      <c r="AX7" s="251">
        <v>3.52</v>
      </c>
      <c r="AY7" s="251">
        <v>3.29</v>
      </c>
      <c r="AZ7" s="251">
        <v>0</v>
      </c>
      <c r="BA7" s="251">
        <v>0</v>
      </c>
      <c r="BC7" s="251"/>
    </row>
    <row r="8" spans="1:59" ht="18.600000000000001">
      <c r="A8" s="256">
        <f t="shared" ref="A8:A22" si="0">A7+1</f>
        <v>3</v>
      </c>
      <c r="B8" s="257" t="s">
        <v>682</v>
      </c>
      <c r="C8" s="251">
        <v>3.84</v>
      </c>
      <c r="D8" s="251">
        <v>3.28</v>
      </c>
      <c r="E8" s="251">
        <v>3.18</v>
      </c>
      <c r="F8" s="251">
        <v>3.55</v>
      </c>
      <c r="G8" s="251">
        <v>7.86</v>
      </c>
      <c r="H8" s="251">
        <v>11.83</v>
      </c>
      <c r="I8" s="251">
        <v>5.43</v>
      </c>
      <c r="J8" s="251">
        <v>5.31</v>
      </c>
      <c r="K8" s="251">
        <v>5.69</v>
      </c>
      <c r="L8" s="251">
        <v>0</v>
      </c>
      <c r="M8" s="251">
        <v>0</v>
      </c>
      <c r="N8" s="251">
        <v>0</v>
      </c>
      <c r="O8" s="251">
        <v>0</v>
      </c>
      <c r="P8" s="251">
        <v>0</v>
      </c>
      <c r="Q8" s="251">
        <v>0</v>
      </c>
      <c r="R8" s="251">
        <v>0</v>
      </c>
      <c r="S8" s="251">
        <v>0</v>
      </c>
      <c r="T8" s="251">
        <v>0</v>
      </c>
      <c r="U8" s="251">
        <v>0</v>
      </c>
      <c r="V8" s="251">
        <v>0</v>
      </c>
      <c r="W8" s="251">
        <v>0</v>
      </c>
      <c r="X8" s="251"/>
      <c r="Y8" s="251">
        <v>0</v>
      </c>
      <c r="Z8" s="251">
        <v>0</v>
      </c>
      <c r="AA8" s="251">
        <v>0</v>
      </c>
      <c r="AB8" s="251">
        <v>0</v>
      </c>
      <c r="AC8" s="251">
        <v>0</v>
      </c>
      <c r="AD8" s="251">
        <v>0</v>
      </c>
      <c r="AE8" s="251">
        <v>0</v>
      </c>
      <c r="AF8" s="251">
        <v>0</v>
      </c>
      <c r="AG8" s="251">
        <v>0</v>
      </c>
      <c r="AH8" s="251">
        <v>0</v>
      </c>
      <c r="AI8" s="251">
        <v>0</v>
      </c>
      <c r="AJ8" s="251">
        <v>0</v>
      </c>
      <c r="AK8" s="251">
        <v>0</v>
      </c>
      <c r="AL8" s="253"/>
      <c r="AM8" s="251">
        <v>3.73</v>
      </c>
      <c r="AN8" s="251">
        <v>3.04</v>
      </c>
      <c r="AO8" s="251">
        <v>2.87</v>
      </c>
      <c r="AP8" s="251">
        <v>3.37</v>
      </c>
      <c r="AQ8" s="251">
        <v>3.53</v>
      </c>
      <c r="AR8" s="251">
        <v>3.31</v>
      </c>
      <c r="AS8" s="273">
        <v>0</v>
      </c>
      <c r="AT8" s="251">
        <v>5.55</v>
      </c>
      <c r="AU8" s="251">
        <v>5.3</v>
      </c>
      <c r="AV8" s="251">
        <v>6.37</v>
      </c>
      <c r="AW8" s="251">
        <v>8.27</v>
      </c>
      <c r="AX8" s="251">
        <v>4.46</v>
      </c>
      <c r="AY8" s="251">
        <v>2.58</v>
      </c>
      <c r="AZ8" s="251">
        <v>0</v>
      </c>
      <c r="BA8" s="251">
        <v>0</v>
      </c>
      <c r="BC8" s="251"/>
    </row>
    <row r="9" spans="1:59" ht="18.600000000000001">
      <c r="A9" s="256">
        <f t="shared" si="0"/>
        <v>4</v>
      </c>
      <c r="B9" s="257" t="s">
        <v>683</v>
      </c>
      <c r="C9" s="389">
        <v>0</v>
      </c>
      <c r="D9" s="389">
        <v>0</v>
      </c>
      <c r="E9" s="389">
        <v>0</v>
      </c>
      <c r="F9" s="251">
        <v>2.59</v>
      </c>
      <c r="G9" s="389">
        <v>0</v>
      </c>
      <c r="H9" s="251">
        <v>5.39</v>
      </c>
      <c r="I9" s="389">
        <v>0</v>
      </c>
      <c r="J9" s="389">
        <v>0</v>
      </c>
      <c r="K9" s="251">
        <v>3.48</v>
      </c>
      <c r="L9" s="251">
        <v>0</v>
      </c>
      <c r="M9" s="251">
        <v>0</v>
      </c>
      <c r="N9" s="251">
        <v>0</v>
      </c>
      <c r="O9" s="251">
        <v>0</v>
      </c>
      <c r="P9" s="251">
        <v>0</v>
      </c>
      <c r="Q9" s="251">
        <v>0</v>
      </c>
      <c r="R9" s="251">
        <v>0</v>
      </c>
      <c r="S9" s="251">
        <v>0</v>
      </c>
      <c r="T9" s="251">
        <v>0</v>
      </c>
      <c r="U9" s="251">
        <v>0</v>
      </c>
      <c r="V9" s="251">
        <v>0</v>
      </c>
      <c r="W9" s="251">
        <v>0</v>
      </c>
      <c r="X9" s="251"/>
      <c r="Y9" s="251">
        <v>0</v>
      </c>
      <c r="Z9" s="251">
        <v>0</v>
      </c>
      <c r="AA9" s="251">
        <v>0</v>
      </c>
      <c r="AB9" s="251">
        <v>0</v>
      </c>
      <c r="AC9" s="251">
        <v>0</v>
      </c>
      <c r="AD9" s="251">
        <v>0</v>
      </c>
      <c r="AE9" s="251">
        <v>0</v>
      </c>
      <c r="AF9" s="251">
        <v>0</v>
      </c>
      <c r="AG9" s="251">
        <v>0</v>
      </c>
      <c r="AH9" s="251">
        <v>0</v>
      </c>
      <c r="AI9" s="251">
        <v>0</v>
      </c>
      <c r="AJ9" s="251">
        <v>0</v>
      </c>
      <c r="AK9" s="251">
        <v>0</v>
      </c>
      <c r="AL9" s="253"/>
      <c r="AM9" s="273">
        <v>0</v>
      </c>
      <c r="AN9" s="273">
        <v>0</v>
      </c>
      <c r="AO9" s="273">
        <v>0</v>
      </c>
      <c r="AP9" s="251">
        <v>2.21</v>
      </c>
      <c r="AQ9" s="273">
        <v>0</v>
      </c>
      <c r="AR9" s="251">
        <v>1.27</v>
      </c>
      <c r="AS9" s="273">
        <v>2.83</v>
      </c>
      <c r="AT9" s="273">
        <v>0</v>
      </c>
      <c r="AU9" s="273">
        <v>0</v>
      </c>
      <c r="AV9" s="273">
        <v>0</v>
      </c>
      <c r="AW9" s="273">
        <v>0</v>
      </c>
      <c r="AX9" s="273">
        <v>0</v>
      </c>
      <c r="AY9" s="273">
        <v>0</v>
      </c>
      <c r="AZ9" s="251">
        <v>0</v>
      </c>
      <c r="BA9" s="251">
        <v>0</v>
      </c>
      <c r="BC9" s="251"/>
    </row>
    <row r="10" spans="1:59" ht="15.6">
      <c r="A10" s="256">
        <f t="shared" si="0"/>
        <v>5</v>
      </c>
      <c r="B10" s="257">
        <v>314</v>
      </c>
      <c r="C10" s="251">
        <v>3.13</v>
      </c>
      <c r="D10" s="251">
        <v>2.94</v>
      </c>
      <c r="E10" s="251">
        <v>2.65</v>
      </c>
      <c r="F10" s="251">
        <v>3.58</v>
      </c>
      <c r="G10" s="251">
        <v>6.01</v>
      </c>
      <c r="H10" s="251">
        <v>12.71</v>
      </c>
      <c r="I10" s="251">
        <v>4.3600000000000003</v>
      </c>
      <c r="J10" s="251">
        <v>3.91</v>
      </c>
      <c r="K10" s="251">
        <v>5.0599999999999996</v>
      </c>
      <c r="L10" s="251">
        <v>0</v>
      </c>
      <c r="M10" s="251">
        <v>0</v>
      </c>
      <c r="N10" s="251">
        <v>0</v>
      </c>
      <c r="O10" s="251">
        <v>0</v>
      </c>
      <c r="P10" s="251">
        <v>0</v>
      </c>
      <c r="Q10" s="251">
        <v>0</v>
      </c>
      <c r="R10" s="251">
        <v>0</v>
      </c>
      <c r="S10" s="251">
        <v>0</v>
      </c>
      <c r="T10" s="251">
        <v>0</v>
      </c>
      <c r="U10" s="251">
        <v>0</v>
      </c>
      <c r="V10" s="251">
        <v>0</v>
      </c>
      <c r="W10" s="251">
        <v>0</v>
      </c>
      <c r="X10" s="251"/>
      <c r="Y10" s="251">
        <v>0</v>
      </c>
      <c r="Z10" s="251">
        <v>0</v>
      </c>
      <c r="AA10" s="251">
        <v>0</v>
      </c>
      <c r="AB10" s="251">
        <v>0</v>
      </c>
      <c r="AC10" s="251">
        <v>0</v>
      </c>
      <c r="AD10" s="251">
        <v>0</v>
      </c>
      <c r="AE10" s="251">
        <v>0</v>
      </c>
      <c r="AF10" s="251">
        <v>0</v>
      </c>
      <c r="AG10" s="251">
        <v>0</v>
      </c>
      <c r="AH10" s="251">
        <v>0</v>
      </c>
      <c r="AI10" s="251">
        <v>0</v>
      </c>
      <c r="AJ10" s="251">
        <v>0</v>
      </c>
      <c r="AK10" s="251">
        <v>0</v>
      </c>
      <c r="AL10" s="253"/>
      <c r="AM10" s="251">
        <v>2.83</v>
      </c>
      <c r="AN10" s="251">
        <v>2.57</v>
      </c>
      <c r="AO10" s="251">
        <v>2.19</v>
      </c>
      <c r="AP10" s="251">
        <v>3.35</v>
      </c>
      <c r="AQ10" s="251">
        <v>2.13</v>
      </c>
      <c r="AR10" s="251">
        <v>5.12</v>
      </c>
      <c r="AS10" s="251">
        <v>2.5</v>
      </c>
      <c r="AT10" s="251">
        <v>2.56</v>
      </c>
      <c r="AU10" s="251">
        <v>1.1499999999999999</v>
      </c>
      <c r="AV10" s="251">
        <v>1.86</v>
      </c>
      <c r="AW10" s="251">
        <v>2.65</v>
      </c>
      <c r="AX10" s="251">
        <v>3.89</v>
      </c>
      <c r="AY10" s="251">
        <v>3.46</v>
      </c>
      <c r="AZ10" s="251">
        <v>0</v>
      </c>
      <c r="BA10" s="251">
        <v>0</v>
      </c>
      <c r="BC10" s="251"/>
    </row>
    <row r="11" spans="1:59" ht="15.6">
      <c r="A11" s="256">
        <f t="shared" si="0"/>
        <v>6</v>
      </c>
      <c r="B11" s="257">
        <v>315</v>
      </c>
      <c r="C11" s="251">
        <v>2.79</v>
      </c>
      <c r="D11" s="251">
        <v>2.8</v>
      </c>
      <c r="E11" s="251">
        <v>2.6</v>
      </c>
      <c r="F11" s="251">
        <v>3.44</v>
      </c>
      <c r="G11" s="251">
        <v>8.51</v>
      </c>
      <c r="H11" s="251">
        <v>5.43</v>
      </c>
      <c r="I11" s="251">
        <v>4.6100000000000003</v>
      </c>
      <c r="J11" s="251">
        <v>4.6399999999999997</v>
      </c>
      <c r="K11" s="251">
        <v>3.32</v>
      </c>
      <c r="L11" s="251">
        <v>0</v>
      </c>
      <c r="M11" s="251">
        <v>0</v>
      </c>
      <c r="N11" s="251">
        <v>0</v>
      </c>
      <c r="O11" s="251">
        <v>0</v>
      </c>
      <c r="P11" s="251">
        <v>0</v>
      </c>
      <c r="Q11" s="251">
        <v>0</v>
      </c>
      <c r="R11" s="251">
        <v>0</v>
      </c>
      <c r="S11" s="251">
        <v>0</v>
      </c>
      <c r="T11" s="251">
        <v>0</v>
      </c>
      <c r="U11" s="251">
        <v>0</v>
      </c>
      <c r="V11" s="251">
        <v>0</v>
      </c>
      <c r="W11" s="251">
        <v>0</v>
      </c>
      <c r="X11" s="251"/>
      <c r="Y11" s="251">
        <v>0</v>
      </c>
      <c r="Z11" s="251">
        <v>0</v>
      </c>
      <c r="AA11" s="251">
        <v>0</v>
      </c>
      <c r="AB11" s="251">
        <v>0</v>
      </c>
      <c r="AC11" s="251">
        <v>0</v>
      </c>
      <c r="AD11" s="251">
        <v>0</v>
      </c>
      <c r="AE11" s="251">
        <v>0</v>
      </c>
      <c r="AF11" s="251">
        <v>0</v>
      </c>
      <c r="AG11" s="251">
        <v>0</v>
      </c>
      <c r="AH11" s="251">
        <v>0</v>
      </c>
      <c r="AI11" s="251">
        <v>0</v>
      </c>
      <c r="AJ11" s="251">
        <v>0</v>
      </c>
      <c r="AK11" s="251">
        <v>0</v>
      </c>
      <c r="AL11" s="253"/>
      <c r="AM11" s="251">
        <v>2.4300000000000002</v>
      </c>
      <c r="AN11" s="251">
        <v>2.38</v>
      </c>
      <c r="AO11" s="251">
        <v>2.1800000000000002</v>
      </c>
      <c r="AP11" s="251">
        <v>3.26</v>
      </c>
      <c r="AQ11" s="251">
        <v>3.01</v>
      </c>
      <c r="AR11" s="251">
        <v>2.08</v>
      </c>
      <c r="AS11" s="251">
        <v>3.47</v>
      </c>
      <c r="AT11" s="251">
        <v>1</v>
      </c>
      <c r="AU11" s="251">
        <v>2.42</v>
      </c>
      <c r="AV11" s="251">
        <v>4.33</v>
      </c>
      <c r="AW11" s="251">
        <v>3.37</v>
      </c>
      <c r="AX11" s="251">
        <v>5.83</v>
      </c>
      <c r="AY11" s="251">
        <v>0.95</v>
      </c>
      <c r="AZ11" s="251">
        <v>0</v>
      </c>
      <c r="BA11" s="251">
        <v>0</v>
      </c>
      <c r="BC11" s="251"/>
    </row>
    <row r="12" spans="1:59" ht="15.6">
      <c r="A12" s="256">
        <f t="shared" si="0"/>
        <v>7</v>
      </c>
      <c r="B12" s="257">
        <v>316</v>
      </c>
      <c r="C12" s="251">
        <v>2.96</v>
      </c>
      <c r="D12" s="251">
        <v>3.35</v>
      </c>
      <c r="E12" s="251">
        <v>3.27</v>
      </c>
      <c r="F12" s="251">
        <v>2.95</v>
      </c>
      <c r="G12" s="251">
        <v>10.36</v>
      </c>
      <c r="H12" s="251">
        <v>5.76</v>
      </c>
      <c r="I12" s="251">
        <v>5.36</v>
      </c>
      <c r="J12" s="251">
        <v>5.23</v>
      </c>
      <c r="K12" s="251">
        <v>3.88</v>
      </c>
      <c r="L12" s="251">
        <v>0</v>
      </c>
      <c r="M12" s="251">
        <v>0</v>
      </c>
      <c r="N12" s="251">
        <v>0</v>
      </c>
      <c r="O12" s="251">
        <v>0</v>
      </c>
      <c r="P12" s="251">
        <v>0</v>
      </c>
      <c r="Q12" s="251">
        <v>0</v>
      </c>
      <c r="R12" s="251">
        <v>0</v>
      </c>
      <c r="S12" s="251">
        <v>0</v>
      </c>
      <c r="T12" s="251">
        <v>0</v>
      </c>
      <c r="U12" s="251">
        <v>0</v>
      </c>
      <c r="V12" s="251">
        <v>0</v>
      </c>
      <c r="W12" s="251">
        <v>0</v>
      </c>
      <c r="X12" s="251"/>
      <c r="Y12" s="251">
        <v>0</v>
      </c>
      <c r="Z12" s="251">
        <v>0</v>
      </c>
      <c r="AA12" s="251">
        <v>0</v>
      </c>
      <c r="AB12" s="251">
        <v>0</v>
      </c>
      <c r="AC12" s="251">
        <v>0</v>
      </c>
      <c r="AD12" s="251">
        <v>0</v>
      </c>
      <c r="AE12" s="251">
        <v>0</v>
      </c>
      <c r="AF12" s="251">
        <v>0</v>
      </c>
      <c r="AG12" s="251">
        <v>0</v>
      </c>
      <c r="AH12" s="251">
        <v>0</v>
      </c>
      <c r="AI12" s="251">
        <v>0</v>
      </c>
      <c r="AJ12" s="251">
        <v>0</v>
      </c>
      <c r="AK12" s="251">
        <v>0</v>
      </c>
      <c r="AL12" s="253"/>
      <c r="AM12" s="251">
        <v>2.68</v>
      </c>
      <c r="AN12" s="251">
        <v>2.89</v>
      </c>
      <c r="AO12" s="251">
        <v>3.06</v>
      </c>
      <c r="AP12" s="251">
        <v>2.6</v>
      </c>
      <c r="AQ12" s="251">
        <v>2.93</v>
      </c>
      <c r="AR12" s="251">
        <v>1.94</v>
      </c>
      <c r="AS12" s="251">
        <v>3.07</v>
      </c>
      <c r="AT12" s="251">
        <v>3.04</v>
      </c>
      <c r="AU12" s="251">
        <v>3.04</v>
      </c>
      <c r="AV12" s="251">
        <v>2.48</v>
      </c>
      <c r="AW12" s="251">
        <v>2.7</v>
      </c>
      <c r="AX12" s="251">
        <v>6.91</v>
      </c>
      <c r="AY12" s="251">
        <v>3.92</v>
      </c>
      <c r="AZ12" s="251">
        <v>0</v>
      </c>
      <c r="BA12" s="251">
        <v>0</v>
      </c>
      <c r="BC12" s="251"/>
    </row>
    <row r="13" spans="1:59" ht="15.6">
      <c r="A13" s="256">
        <f t="shared" si="0"/>
        <v>8</v>
      </c>
      <c r="B13" s="257">
        <v>321</v>
      </c>
      <c r="C13" s="251">
        <v>0</v>
      </c>
      <c r="D13" s="251">
        <v>0</v>
      </c>
      <c r="E13" s="251">
        <v>0</v>
      </c>
      <c r="F13" s="251">
        <v>0</v>
      </c>
      <c r="G13" s="251">
        <v>0</v>
      </c>
      <c r="H13" s="251">
        <v>0</v>
      </c>
      <c r="I13" s="251">
        <v>0</v>
      </c>
      <c r="J13" s="251">
        <v>0</v>
      </c>
      <c r="K13" s="251">
        <v>0</v>
      </c>
      <c r="L13" s="251">
        <v>0</v>
      </c>
      <c r="M13" s="251">
        <v>0</v>
      </c>
      <c r="N13" s="251">
        <v>0</v>
      </c>
      <c r="O13" s="251">
        <v>0</v>
      </c>
      <c r="P13" s="251">
        <v>0</v>
      </c>
      <c r="Q13" s="251">
        <v>0</v>
      </c>
      <c r="R13" s="251">
        <v>0</v>
      </c>
      <c r="S13" s="251">
        <v>0</v>
      </c>
      <c r="T13" s="251">
        <v>0</v>
      </c>
      <c r="U13" s="251">
        <v>0</v>
      </c>
      <c r="V13" s="251">
        <v>0</v>
      </c>
      <c r="W13" s="251">
        <v>0</v>
      </c>
      <c r="X13" s="251"/>
      <c r="Y13" s="251">
        <v>0</v>
      </c>
      <c r="Z13" s="251">
        <v>0</v>
      </c>
      <c r="AA13" s="251">
        <v>0</v>
      </c>
      <c r="AB13" s="251">
        <v>0</v>
      </c>
      <c r="AC13" s="251">
        <v>0</v>
      </c>
      <c r="AD13" s="251">
        <v>0</v>
      </c>
      <c r="AE13" s="251">
        <v>0</v>
      </c>
      <c r="AF13" s="251">
        <v>0</v>
      </c>
      <c r="AG13" s="251">
        <v>0</v>
      </c>
      <c r="AH13" s="251">
        <v>0</v>
      </c>
      <c r="AI13" s="251">
        <v>0</v>
      </c>
      <c r="AJ13" s="251">
        <v>0</v>
      </c>
      <c r="AK13" s="251">
        <v>0</v>
      </c>
      <c r="AL13" s="253"/>
      <c r="AM13" s="251">
        <v>0</v>
      </c>
      <c r="AN13" s="251">
        <v>0</v>
      </c>
      <c r="AO13" s="251">
        <v>0</v>
      </c>
      <c r="AP13" s="251">
        <v>0</v>
      </c>
      <c r="AQ13" s="251">
        <v>0</v>
      </c>
      <c r="AR13" s="251">
        <v>0</v>
      </c>
      <c r="AS13" s="251">
        <v>0</v>
      </c>
      <c r="AT13" s="251">
        <v>0</v>
      </c>
      <c r="AU13" s="251">
        <v>0</v>
      </c>
      <c r="AV13" s="251">
        <v>0</v>
      </c>
      <c r="AW13" s="251">
        <v>0</v>
      </c>
      <c r="AX13" s="251">
        <v>0</v>
      </c>
      <c r="AY13" s="251">
        <v>0</v>
      </c>
      <c r="AZ13" s="251">
        <v>1.6</v>
      </c>
      <c r="BA13" s="251">
        <v>0</v>
      </c>
      <c r="BC13" s="251"/>
    </row>
    <row r="14" spans="1:59" ht="15.6">
      <c r="A14" s="256">
        <f t="shared" si="0"/>
        <v>9</v>
      </c>
      <c r="B14" s="257">
        <v>322</v>
      </c>
      <c r="C14" s="251">
        <v>0</v>
      </c>
      <c r="D14" s="251">
        <v>0</v>
      </c>
      <c r="E14" s="251">
        <v>0</v>
      </c>
      <c r="F14" s="251">
        <v>0</v>
      </c>
      <c r="G14" s="251">
        <v>0</v>
      </c>
      <c r="H14" s="251">
        <v>0</v>
      </c>
      <c r="I14" s="251">
        <v>0</v>
      </c>
      <c r="J14" s="251">
        <v>0</v>
      </c>
      <c r="K14" s="251">
        <v>0</v>
      </c>
      <c r="L14" s="251">
        <v>0</v>
      </c>
      <c r="M14" s="251">
        <v>0</v>
      </c>
      <c r="N14" s="251">
        <v>0</v>
      </c>
      <c r="O14" s="251">
        <v>0</v>
      </c>
      <c r="P14" s="251">
        <v>0</v>
      </c>
      <c r="Q14" s="251">
        <v>0</v>
      </c>
      <c r="R14" s="251">
        <v>0</v>
      </c>
      <c r="S14" s="251">
        <v>0</v>
      </c>
      <c r="T14" s="251">
        <v>0</v>
      </c>
      <c r="U14" s="251">
        <v>0</v>
      </c>
      <c r="V14" s="251">
        <v>0</v>
      </c>
      <c r="W14" s="251">
        <v>0</v>
      </c>
      <c r="X14" s="251"/>
      <c r="Y14" s="251">
        <v>0</v>
      </c>
      <c r="Z14" s="251">
        <v>0</v>
      </c>
      <c r="AA14" s="251">
        <v>0</v>
      </c>
      <c r="AB14" s="251">
        <v>0</v>
      </c>
      <c r="AC14" s="251">
        <v>0</v>
      </c>
      <c r="AD14" s="251">
        <v>0</v>
      </c>
      <c r="AE14" s="251">
        <v>0</v>
      </c>
      <c r="AF14" s="251">
        <v>0</v>
      </c>
      <c r="AG14" s="251">
        <v>0</v>
      </c>
      <c r="AH14" s="251">
        <v>0</v>
      </c>
      <c r="AI14" s="251">
        <v>0</v>
      </c>
      <c r="AJ14" s="251">
        <v>0</v>
      </c>
      <c r="AK14" s="251">
        <v>0</v>
      </c>
      <c r="AL14" s="253"/>
      <c r="AM14" s="251">
        <v>0</v>
      </c>
      <c r="AN14" s="251">
        <v>0</v>
      </c>
      <c r="AO14" s="251">
        <v>0</v>
      </c>
      <c r="AP14" s="251">
        <v>0</v>
      </c>
      <c r="AQ14" s="251">
        <v>0</v>
      </c>
      <c r="AR14" s="251">
        <v>0</v>
      </c>
      <c r="AS14" s="251">
        <v>0</v>
      </c>
      <c r="AT14" s="251">
        <v>0</v>
      </c>
      <c r="AU14" s="251">
        <v>0</v>
      </c>
      <c r="AV14" s="251">
        <v>0</v>
      </c>
      <c r="AW14" s="251">
        <v>0</v>
      </c>
      <c r="AX14" s="251">
        <v>0</v>
      </c>
      <c r="AY14" s="251">
        <v>0</v>
      </c>
      <c r="AZ14" s="251">
        <v>2.14</v>
      </c>
      <c r="BA14" s="251">
        <v>0</v>
      </c>
      <c r="BC14" s="251"/>
    </row>
    <row r="15" spans="1:59" ht="15.6">
      <c r="A15" s="256">
        <f t="shared" si="0"/>
        <v>10</v>
      </c>
      <c r="B15" s="257">
        <v>323</v>
      </c>
      <c r="C15" s="251">
        <v>0</v>
      </c>
      <c r="D15" s="251">
        <v>0</v>
      </c>
      <c r="E15" s="251">
        <v>0</v>
      </c>
      <c r="F15" s="251">
        <v>0</v>
      </c>
      <c r="G15" s="251">
        <v>0</v>
      </c>
      <c r="H15" s="251">
        <v>0</v>
      </c>
      <c r="I15" s="251">
        <v>0</v>
      </c>
      <c r="J15" s="251">
        <v>0</v>
      </c>
      <c r="K15" s="251">
        <v>0</v>
      </c>
      <c r="L15" s="251">
        <v>0</v>
      </c>
      <c r="M15" s="251">
        <v>0</v>
      </c>
      <c r="N15" s="251">
        <v>0</v>
      </c>
      <c r="O15" s="251">
        <v>0</v>
      </c>
      <c r="P15" s="251">
        <v>0</v>
      </c>
      <c r="Q15" s="251">
        <v>0</v>
      </c>
      <c r="R15" s="251">
        <v>0</v>
      </c>
      <c r="S15" s="251">
        <v>0</v>
      </c>
      <c r="T15" s="251">
        <v>0</v>
      </c>
      <c r="U15" s="251">
        <v>0</v>
      </c>
      <c r="V15" s="251">
        <v>0</v>
      </c>
      <c r="W15" s="251">
        <v>0</v>
      </c>
      <c r="X15" s="251"/>
      <c r="Y15" s="251">
        <v>0</v>
      </c>
      <c r="Z15" s="251">
        <v>0</v>
      </c>
      <c r="AA15" s="251">
        <v>0</v>
      </c>
      <c r="AB15" s="251">
        <v>0</v>
      </c>
      <c r="AC15" s="251">
        <v>0</v>
      </c>
      <c r="AD15" s="251">
        <v>0</v>
      </c>
      <c r="AE15" s="251">
        <v>0</v>
      </c>
      <c r="AF15" s="251">
        <v>0</v>
      </c>
      <c r="AG15" s="251">
        <v>0</v>
      </c>
      <c r="AH15" s="251">
        <v>0</v>
      </c>
      <c r="AI15" s="251">
        <v>0</v>
      </c>
      <c r="AJ15" s="251">
        <v>0</v>
      </c>
      <c r="AK15" s="251">
        <v>0</v>
      </c>
      <c r="AL15" s="253"/>
      <c r="AM15" s="251">
        <v>0</v>
      </c>
      <c r="AN15" s="251">
        <v>0</v>
      </c>
      <c r="AO15" s="251">
        <v>0</v>
      </c>
      <c r="AP15" s="251">
        <v>0</v>
      </c>
      <c r="AQ15" s="251">
        <v>0</v>
      </c>
      <c r="AR15" s="251">
        <v>0</v>
      </c>
      <c r="AS15" s="251">
        <v>0</v>
      </c>
      <c r="AT15" s="251">
        <v>0</v>
      </c>
      <c r="AU15" s="251">
        <v>0</v>
      </c>
      <c r="AV15" s="251">
        <v>0</v>
      </c>
      <c r="AW15" s="251">
        <v>0</v>
      </c>
      <c r="AX15" s="251">
        <v>0</v>
      </c>
      <c r="AY15" s="251">
        <v>0</v>
      </c>
      <c r="AZ15" s="251">
        <v>2.38</v>
      </c>
      <c r="BA15" s="251">
        <v>0</v>
      </c>
      <c r="BC15" s="251"/>
    </row>
    <row r="16" spans="1:59" ht="15.6">
      <c r="A16" s="256">
        <f t="shared" si="0"/>
        <v>11</v>
      </c>
      <c r="B16" s="257">
        <v>324</v>
      </c>
      <c r="C16" s="251">
        <v>0</v>
      </c>
      <c r="D16" s="251">
        <v>0</v>
      </c>
      <c r="E16" s="251">
        <v>0</v>
      </c>
      <c r="F16" s="251">
        <v>0</v>
      </c>
      <c r="G16" s="251">
        <v>0</v>
      </c>
      <c r="H16" s="251">
        <v>0</v>
      </c>
      <c r="I16" s="251">
        <v>0</v>
      </c>
      <c r="J16" s="251">
        <v>0</v>
      </c>
      <c r="K16" s="251">
        <v>0</v>
      </c>
      <c r="L16" s="251">
        <v>0</v>
      </c>
      <c r="M16" s="251">
        <v>0</v>
      </c>
      <c r="N16" s="251">
        <v>0</v>
      </c>
      <c r="O16" s="251">
        <v>0</v>
      </c>
      <c r="P16" s="251">
        <v>0</v>
      </c>
      <c r="Q16" s="251">
        <v>0</v>
      </c>
      <c r="R16" s="251">
        <v>0</v>
      </c>
      <c r="S16" s="251">
        <v>0</v>
      </c>
      <c r="T16" s="251">
        <v>0</v>
      </c>
      <c r="U16" s="251">
        <v>0</v>
      </c>
      <c r="V16" s="251">
        <v>0</v>
      </c>
      <c r="W16" s="251">
        <v>0</v>
      </c>
      <c r="X16" s="251"/>
      <c r="Y16" s="251">
        <v>0</v>
      </c>
      <c r="Z16" s="251">
        <v>0</v>
      </c>
      <c r="AA16" s="251">
        <v>0</v>
      </c>
      <c r="AB16" s="251">
        <v>0</v>
      </c>
      <c r="AC16" s="251">
        <v>0</v>
      </c>
      <c r="AD16" s="251">
        <v>0</v>
      </c>
      <c r="AE16" s="251">
        <v>0</v>
      </c>
      <c r="AF16" s="251">
        <v>0</v>
      </c>
      <c r="AG16" s="251">
        <v>0</v>
      </c>
      <c r="AH16" s="251">
        <v>0</v>
      </c>
      <c r="AI16" s="251">
        <v>0</v>
      </c>
      <c r="AJ16" s="251">
        <v>0</v>
      </c>
      <c r="AK16" s="251">
        <v>0</v>
      </c>
      <c r="AL16" s="253"/>
      <c r="AM16" s="251">
        <v>0</v>
      </c>
      <c r="AN16" s="251">
        <v>0</v>
      </c>
      <c r="AO16" s="251">
        <v>0</v>
      </c>
      <c r="AP16" s="251">
        <v>0</v>
      </c>
      <c r="AQ16" s="251">
        <v>0</v>
      </c>
      <c r="AR16" s="251">
        <v>0</v>
      </c>
      <c r="AS16" s="251">
        <v>0</v>
      </c>
      <c r="AT16" s="251">
        <v>0</v>
      </c>
      <c r="AU16" s="251">
        <v>0</v>
      </c>
      <c r="AV16" s="251">
        <v>0</v>
      </c>
      <c r="AW16" s="251">
        <v>0</v>
      </c>
      <c r="AX16" s="251">
        <v>0</v>
      </c>
      <c r="AY16" s="251">
        <v>0</v>
      </c>
      <c r="AZ16" s="251">
        <v>1.77</v>
      </c>
      <c r="BA16" s="251">
        <v>0</v>
      </c>
      <c r="BC16" s="251"/>
    </row>
    <row r="17" spans="1:56" ht="15.6">
      <c r="A17" s="256">
        <f t="shared" si="0"/>
        <v>12</v>
      </c>
      <c r="B17" s="257">
        <v>325</v>
      </c>
      <c r="C17" s="251">
        <v>0</v>
      </c>
      <c r="D17" s="251">
        <v>0</v>
      </c>
      <c r="E17" s="251">
        <v>0</v>
      </c>
      <c r="F17" s="251">
        <v>0</v>
      </c>
      <c r="G17" s="251">
        <v>0</v>
      </c>
      <c r="H17" s="251">
        <v>0</v>
      </c>
      <c r="I17" s="251">
        <v>0</v>
      </c>
      <c r="J17" s="251">
        <v>0</v>
      </c>
      <c r="K17" s="251">
        <v>0</v>
      </c>
      <c r="L17" s="251">
        <v>0</v>
      </c>
      <c r="M17" s="251">
        <v>0</v>
      </c>
      <c r="N17" s="251">
        <v>0</v>
      </c>
      <c r="O17" s="251">
        <v>0</v>
      </c>
      <c r="P17" s="251">
        <v>0</v>
      </c>
      <c r="Q17" s="251">
        <v>0</v>
      </c>
      <c r="R17" s="251">
        <v>0</v>
      </c>
      <c r="S17" s="251">
        <v>0</v>
      </c>
      <c r="T17" s="251">
        <v>0</v>
      </c>
      <c r="U17" s="251">
        <v>0</v>
      </c>
      <c r="V17" s="251">
        <v>0</v>
      </c>
      <c r="W17" s="251">
        <v>0</v>
      </c>
      <c r="X17" s="251"/>
      <c r="Y17" s="251">
        <v>0</v>
      </c>
      <c r="Z17" s="251">
        <v>0</v>
      </c>
      <c r="AA17" s="251">
        <v>0</v>
      </c>
      <c r="AB17" s="251">
        <v>0</v>
      </c>
      <c r="AC17" s="251">
        <v>0</v>
      </c>
      <c r="AD17" s="251">
        <v>0</v>
      </c>
      <c r="AE17" s="251">
        <v>0</v>
      </c>
      <c r="AF17" s="251">
        <v>0</v>
      </c>
      <c r="AG17" s="251">
        <v>0</v>
      </c>
      <c r="AH17" s="251">
        <v>0</v>
      </c>
      <c r="AI17" s="251">
        <v>0</v>
      </c>
      <c r="AJ17" s="251">
        <v>0</v>
      </c>
      <c r="AK17" s="251">
        <v>0</v>
      </c>
      <c r="AL17" s="253"/>
      <c r="AM17" s="251">
        <v>0</v>
      </c>
      <c r="AN17" s="251">
        <v>0</v>
      </c>
      <c r="AO17" s="251">
        <v>0</v>
      </c>
      <c r="AP17" s="251">
        <v>0</v>
      </c>
      <c r="AQ17" s="251">
        <v>0</v>
      </c>
      <c r="AR17" s="251">
        <v>0</v>
      </c>
      <c r="AS17" s="251">
        <v>0</v>
      </c>
      <c r="AT17" s="251">
        <v>0</v>
      </c>
      <c r="AU17" s="251">
        <v>0</v>
      </c>
      <c r="AV17" s="251">
        <v>0</v>
      </c>
      <c r="AW17" s="251">
        <v>0</v>
      </c>
      <c r="AX17" s="251">
        <v>0</v>
      </c>
      <c r="AY17" s="251">
        <v>0</v>
      </c>
      <c r="AZ17" s="251">
        <v>2.44</v>
      </c>
      <c r="BA17" s="251">
        <v>0</v>
      </c>
      <c r="BC17" s="251"/>
    </row>
    <row r="18" spans="1:56" ht="15.6">
      <c r="A18" s="256">
        <f t="shared" si="0"/>
        <v>13</v>
      </c>
      <c r="B18" s="257">
        <v>341</v>
      </c>
      <c r="C18" s="251">
        <v>0</v>
      </c>
      <c r="D18" s="251">
        <v>0</v>
      </c>
      <c r="E18" s="251">
        <v>0</v>
      </c>
      <c r="F18" s="251">
        <v>0</v>
      </c>
      <c r="G18" s="251">
        <v>0</v>
      </c>
      <c r="H18" s="251">
        <v>0</v>
      </c>
      <c r="I18" s="251">
        <v>0</v>
      </c>
      <c r="J18" s="251">
        <v>0</v>
      </c>
      <c r="K18" s="251">
        <v>0</v>
      </c>
      <c r="L18" s="251">
        <v>1.54</v>
      </c>
      <c r="M18" s="251">
        <v>1.54</v>
      </c>
      <c r="N18" s="251">
        <v>1.53</v>
      </c>
      <c r="O18" s="251">
        <v>1.53</v>
      </c>
      <c r="P18" s="251">
        <v>1.82</v>
      </c>
      <c r="Q18" s="251">
        <v>1.82</v>
      </c>
      <c r="R18" s="251">
        <v>1.82</v>
      </c>
      <c r="S18" s="251">
        <v>1.82</v>
      </c>
      <c r="T18" s="251">
        <v>1.82</v>
      </c>
      <c r="U18" s="251">
        <v>1.86</v>
      </c>
      <c r="V18" s="251">
        <v>1.86</v>
      </c>
      <c r="W18" s="251">
        <v>1.8</v>
      </c>
      <c r="X18" s="251"/>
      <c r="Y18" s="251">
        <v>-0.5</v>
      </c>
      <c r="Z18" s="251">
        <v>-0.36</v>
      </c>
      <c r="AA18" s="251">
        <v>-0.36</v>
      </c>
      <c r="AB18" s="251">
        <v>-6.14</v>
      </c>
      <c r="AC18" s="251">
        <v>-1</v>
      </c>
      <c r="AD18" s="251">
        <v>4.99</v>
      </c>
      <c r="AE18" s="251">
        <v>5.65</v>
      </c>
      <c r="AF18" s="251">
        <v>4.95</v>
      </c>
      <c r="AG18" s="251">
        <v>1.84</v>
      </c>
      <c r="AH18" s="251">
        <v>1.84</v>
      </c>
      <c r="AI18" s="251">
        <v>1.84</v>
      </c>
      <c r="AJ18" s="251">
        <v>1.84</v>
      </c>
      <c r="AK18" s="251">
        <v>2.0099999999999998</v>
      </c>
      <c r="AL18" s="253"/>
      <c r="AM18" s="251">
        <v>0</v>
      </c>
      <c r="AN18" s="251">
        <v>0</v>
      </c>
      <c r="AO18" s="251">
        <v>0</v>
      </c>
      <c r="AP18" s="251">
        <v>0</v>
      </c>
      <c r="AQ18" s="251">
        <v>0</v>
      </c>
      <c r="AR18" s="251">
        <v>0</v>
      </c>
      <c r="AS18" s="251">
        <v>0</v>
      </c>
      <c r="AT18" s="251">
        <v>0</v>
      </c>
      <c r="AU18" s="251">
        <v>0</v>
      </c>
      <c r="AV18" s="251">
        <v>0</v>
      </c>
      <c r="AW18" s="251">
        <v>0</v>
      </c>
      <c r="AX18" s="251">
        <v>0</v>
      </c>
      <c r="AY18" s="251">
        <v>0</v>
      </c>
      <c r="AZ18" s="251">
        <v>0</v>
      </c>
      <c r="BA18" s="251">
        <v>0</v>
      </c>
      <c r="BC18" s="273"/>
    </row>
    <row r="19" spans="1:56" ht="15.6">
      <c r="A19" s="256">
        <f t="shared" si="0"/>
        <v>14</v>
      </c>
      <c r="B19" s="257">
        <v>342</v>
      </c>
      <c r="C19" s="251">
        <v>0</v>
      </c>
      <c r="D19" s="251">
        <v>0</v>
      </c>
      <c r="E19" s="251">
        <v>0</v>
      </c>
      <c r="F19" s="251">
        <v>0</v>
      </c>
      <c r="G19" s="251">
        <v>0</v>
      </c>
      <c r="H19" s="251">
        <v>0</v>
      </c>
      <c r="I19" s="251">
        <v>0</v>
      </c>
      <c r="J19" s="251">
        <v>0</v>
      </c>
      <c r="K19" s="251">
        <v>0</v>
      </c>
      <c r="L19" s="251">
        <v>1.73</v>
      </c>
      <c r="M19" s="251">
        <v>1.75</v>
      </c>
      <c r="N19" s="251">
        <v>1.7</v>
      </c>
      <c r="O19" s="251">
        <v>1.53</v>
      </c>
      <c r="P19" s="251">
        <v>1.83</v>
      </c>
      <c r="Q19" s="251">
        <v>1.86</v>
      </c>
      <c r="R19" s="251">
        <v>1.86</v>
      </c>
      <c r="S19" s="251">
        <v>1.84</v>
      </c>
      <c r="T19" s="251">
        <v>1.83</v>
      </c>
      <c r="U19" s="251">
        <v>1.87</v>
      </c>
      <c r="V19" s="251">
        <v>1.87</v>
      </c>
      <c r="W19" s="251">
        <v>1.79</v>
      </c>
      <c r="X19" s="251"/>
      <c r="Y19" s="251">
        <v>-0.53</v>
      </c>
      <c r="Z19" s="251">
        <v>-1.1499999999999999</v>
      </c>
      <c r="AA19" s="251">
        <v>0.31</v>
      </c>
      <c r="AB19" s="251">
        <v>-4.97</v>
      </c>
      <c r="AC19" s="251">
        <v>2.76</v>
      </c>
      <c r="AD19" s="273">
        <v>0</v>
      </c>
      <c r="AE19" s="273">
        <v>0</v>
      </c>
      <c r="AF19" s="273">
        <v>0</v>
      </c>
      <c r="AG19" s="251">
        <v>1.84</v>
      </c>
      <c r="AH19" s="251">
        <v>1.84</v>
      </c>
      <c r="AI19" s="251">
        <v>1.84</v>
      </c>
      <c r="AJ19" s="251">
        <v>1.84</v>
      </c>
      <c r="AK19" s="251">
        <v>2.42</v>
      </c>
      <c r="AL19" s="253"/>
      <c r="AM19" s="251">
        <v>0</v>
      </c>
      <c r="AN19" s="251">
        <v>0</v>
      </c>
      <c r="AO19" s="251">
        <v>0</v>
      </c>
      <c r="AP19" s="251">
        <v>0</v>
      </c>
      <c r="AQ19" s="251">
        <v>0</v>
      </c>
      <c r="AR19" s="251">
        <v>0</v>
      </c>
      <c r="AS19" s="251">
        <v>0</v>
      </c>
      <c r="AT19" s="251">
        <v>0</v>
      </c>
      <c r="AU19" s="251">
        <v>0</v>
      </c>
      <c r="AV19" s="251">
        <v>0</v>
      </c>
      <c r="AW19" s="251">
        <v>0</v>
      </c>
      <c r="AX19" s="251">
        <v>0</v>
      </c>
      <c r="AY19" s="251">
        <v>0</v>
      </c>
      <c r="AZ19" s="251">
        <v>0</v>
      </c>
      <c r="BA19" s="251">
        <v>0</v>
      </c>
      <c r="BC19" s="273"/>
    </row>
    <row r="20" spans="1:56" ht="15.6">
      <c r="A20" s="256">
        <f t="shared" si="0"/>
        <v>15</v>
      </c>
      <c r="B20" s="257">
        <v>344</v>
      </c>
      <c r="C20" s="251">
        <v>0</v>
      </c>
      <c r="D20" s="251">
        <v>0</v>
      </c>
      <c r="E20" s="251">
        <v>0</v>
      </c>
      <c r="F20" s="251">
        <v>0</v>
      </c>
      <c r="G20" s="251">
        <v>0</v>
      </c>
      <c r="H20" s="251">
        <v>0</v>
      </c>
      <c r="I20" s="251">
        <v>0</v>
      </c>
      <c r="J20" s="251">
        <v>0</v>
      </c>
      <c r="K20" s="251">
        <v>0</v>
      </c>
      <c r="L20" s="251">
        <v>1.69</v>
      </c>
      <c r="M20" s="251">
        <v>1.67</v>
      </c>
      <c r="N20" s="251">
        <v>1.56</v>
      </c>
      <c r="O20" s="251">
        <v>1.77</v>
      </c>
      <c r="P20" s="251">
        <v>1.9</v>
      </c>
      <c r="Q20" s="251">
        <v>1.88</v>
      </c>
      <c r="R20" s="251">
        <v>1.89</v>
      </c>
      <c r="S20" s="251">
        <v>1.89</v>
      </c>
      <c r="T20" s="251">
        <v>1.83</v>
      </c>
      <c r="U20" s="251">
        <v>1.88</v>
      </c>
      <c r="V20" s="251">
        <v>1.87</v>
      </c>
      <c r="W20" s="251">
        <v>1.97</v>
      </c>
      <c r="X20" s="251"/>
      <c r="Y20" s="251">
        <v>0.82</v>
      </c>
      <c r="Z20" s="251">
        <v>-0.08</v>
      </c>
      <c r="AA20" s="251">
        <v>-0.18</v>
      </c>
      <c r="AB20" s="251">
        <v>-4.38</v>
      </c>
      <c r="AC20" s="251">
        <v>0</v>
      </c>
      <c r="AD20" s="251">
        <v>4.99</v>
      </c>
      <c r="AE20" s="251">
        <v>5.83</v>
      </c>
      <c r="AF20" s="251">
        <v>4.95</v>
      </c>
      <c r="AG20" s="251">
        <v>1.84</v>
      </c>
      <c r="AH20" s="251">
        <v>1.84</v>
      </c>
      <c r="AI20" s="251">
        <v>1.89</v>
      </c>
      <c r="AJ20" s="251">
        <v>1.84</v>
      </c>
      <c r="AK20" s="251">
        <v>2.23</v>
      </c>
      <c r="AL20" s="253"/>
      <c r="AM20" s="251">
        <v>0</v>
      </c>
      <c r="AN20" s="251">
        <v>0</v>
      </c>
      <c r="AO20" s="251">
        <v>0</v>
      </c>
      <c r="AP20" s="251">
        <v>0</v>
      </c>
      <c r="AQ20" s="251">
        <v>0</v>
      </c>
      <c r="AR20" s="251">
        <v>0</v>
      </c>
      <c r="AS20" s="251">
        <v>0</v>
      </c>
      <c r="AT20" s="251">
        <v>0</v>
      </c>
      <c r="AU20" s="251">
        <v>0</v>
      </c>
      <c r="AV20" s="251">
        <v>0</v>
      </c>
      <c r="AW20" s="251">
        <v>0</v>
      </c>
      <c r="AX20" s="251">
        <v>0</v>
      </c>
      <c r="AY20" s="251">
        <v>0</v>
      </c>
      <c r="AZ20" s="251">
        <v>0</v>
      </c>
      <c r="BA20" s="251">
        <v>1.77</v>
      </c>
      <c r="BC20" s="215"/>
    </row>
    <row r="21" spans="1:56" ht="15.6">
      <c r="A21" s="256">
        <f t="shared" si="0"/>
        <v>16</v>
      </c>
      <c r="B21" s="257">
        <v>345</v>
      </c>
      <c r="C21" s="251">
        <v>0</v>
      </c>
      <c r="D21" s="251">
        <v>0</v>
      </c>
      <c r="E21" s="251">
        <v>0</v>
      </c>
      <c r="F21" s="251">
        <v>0</v>
      </c>
      <c r="G21" s="251">
        <v>0</v>
      </c>
      <c r="H21" s="251">
        <v>0</v>
      </c>
      <c r="I21" s="251">
        <v>0</v>
      </c>
      <c r="J21" s="251">
        <v>0</v>
      </c>
      <c r="K21" s="251">
        <v>0</v>
      </c>
      <c r="L21" s="251">
        <v>1.55</v>
      </c>
      <c r="M21" s="251">
        <v>1.56</v>
      </c>
      <c r="N21" s="251">
        <v>1.53</v>
      </c>
      <c r="O21" s="251">
        <v>1.77</v>
      </c>
      <c r="P21" s="251">
        <v>1.81</v>
      </c>
      <c r="Q21" s="251">
        <v>1.82</v>
      </c>
      <c r="R21" s="251">
        <v>1.81</v>
      </c>
      <c r="S21" s="251">
        <v>1.82</v>
      </c>
      <c r="T21" s="251">
        <v>1.81</v>
      </c>
      <c r="U21" s="251">
        <v>1.86</v>
      </c>
      <c r="V21" s="251">
        <v>1.86</v>
      </c>
      <c r="W21" s="251">
        <v>1.79</v>
      </c>
      <c r="X21" s="251"/>
      <c r="Y21" s="251">
        <v>0.88</v>
      </c>
      <c r="Z21" s="251">
        <v>0.67</v>
      </c>
      <c r="AA21" s="251">
        <v>2.4500000000000002</v>
      </c>
      <c r="AB21" s="251">
        <v>-4.68</v>
      </c>
      <c r="AC21" s="251">
        <v>1.93</v>
      </c>
      <c r="AD21" s="251">
        <v>4.9800000000000004</v>
      </c>
      <c r="AE21" s="251">
        <v>5.53</v>
      </c>
      <c r="AF21" s="251">
        <v>4.9400000000000004</v>
      </c>
      <c r="AG21" s="251">
        <v>2.08</v>
      </c>
      <c r="AH21" s="251">
        <v>2.0299999999999998</v>
      </c>
      <c r="AI21" s="251">
        <v>2.39</v>
      </c>
      <c r="AJ21" s="251">
        <v>2.0699999999999998</v>
      </c>
      <c r="AK21" s="273">
        <v>1.97</v>
      </c>
      <c r="AL21" s="253"/>
      <c r="AM21" s="251">
        <v>0</v>
      </c>
      <c r="AN21" s="251">
        <v>0</v>
      </c>
      <c r="AO21" s="251">
        <v>0</v>
      </c>
      <c r="AP21" s="251">
        <v>0</v>
      </c>
      <c r="AQ21" s="251">
        <v>0</v>
      </c>
      <c r="AR21" s="251">
        <v>0</v>
      </c>
      <c r="AS21" s="251">
        <v>0</v>
      </c>
      <c r="AT21" s="251">
        <v>0</v>
      </c>
      <c r="AU21" s="251">
        <v>0</v>
      </c>
      <c r="AV21" s="251">
        <v>0</v>
      </c>
      <c r="AW21" s="251">
        <v>0</v>
      </c>
      <c r="AX21" s="251">
        <v>0</v>
      </c>
      <c r="AY21" s="251">
        <v>0</v>
      </c>
      <c r="AZ21" s="251">
        <v>0</v>
      </c>
      <c r="BA21" s="251">
        <v>0</v>
      </c>
      <c r="BC21" s="215"/>
    </row>
    <row r="22" spans="1:56" ht="15.6">
      <c r="A22" s="256">
        <f t="shared" si="0"/>
        <v>17</v>
      </c>
      <c r="B22" s="257">
        <v>346</v>
      </c>
      <c r="C22" s="251">
        <v>0</v>
      </c>
      <c r="D22" s="251">
        <v>0</v>
      </c>
      <c r="E22" s="251">
        <v>0</v>
      </c>
      <c r="F22" s="251">
        <v>0</v>
      </c>
      <c r="G22" s="251">
        <v>0</v>
      </c>
      <c r="H22" s="251">
        <v>0</v>
      </c>
      <c r="I22" s="251">
        <v>0</v>
      </c>
      <c r="J22" s="251">
        <v>0</v>
      </c>
      <c r="K22" s="251">
        <v>0</v>
      </c>
      <c r="L22" s="389">
        <v>2.75</v>
      </c>
      <c r="M22" s="389">
        <v>2.86</v>
      </c>
      <c r="N22" s="389">
        <v>2.79</v>
      </c>
      <c r="O22" s="251">
        <v>1.58</v>
      </c>
      <c r="P22" s="251">
        <v>1.81</v>
      </c>
      <c r="Q22" s="251">
        <v>1.81</v>
      </c>
      <c r="R22" s="251">
        <v>1.81</v>
      </c>
      <c r="S22" s="251">
        <v>1.81</v>
      </c>
      <c r="T22" s="251">
        <v>1.81</v>
      </c>
      <c r="U22" s="251">
        <v>1.86</v>
      </c>
      <c r="V22" s="251">
        <v>1.86</v>
      </c>
      <c r="W22" s="251">
        <v>1.85</v>
      </c>
      <c r="X22" s="251"/>
      <c r="Y22" s="251">
        <v>3.31</v>
      </c>
      <c r="Z22" s="251">
        <v>-1.28</v>
      </c>
      <c r="AA22" s="251">
        <v>-1.28</v>
      </c>
      <c r="AB22" s="251">
        <v>-4.83</v>
      </c>
      <c r="AC22" s="251">
        <v>1.88</v>
      </c>
      <c r="AD22" s="251">
        <v>5.15</v>
      </c>
      <c r="AE22" s="251">
        <v>6.34</v>
      </c>
      <c r="AF22" s="251">
        <v>4.9400000000000004</v>
      </c>
      <c r="AG22" s="273">
        <v>0</v>
      </c>
      <c r="AH22" s="273">
        <v>0</v>
      </c>
      <c r="AI22" s="273">
        <v>0</v>
      </c>
      <c r="AJ22" s="273">
        <v>0</v>
      </c>
      <c r="AK22" s="251">
        <v>1.85</v>
      </c>
      <c r="AL22" s="253"/>
      <c r="AM22" s="251">
        <v>0</v>
      </c>
      <c r="AN22" s="251">
        <v>0</v>
      </c>
      <c r="AO22" s="251">
        <v>0</v>
      </c>
      <c r="AP22" s="251">
        <v>0</v>
      </c>
      <c r="AQ22" s="251">
        <v>0</v>
      </c>
      <c r="AR22" s="251">
        <v>0</v>
      </c>
      <c r="AS22" s="251">
        <v>0</v>
      </c>
      <c r="AT22" s="251">
        <v>0</v>
      </c>
      <c r="AU22" s="251">
        <v>0</v>
      </c>
      <c r="AV22" s="251">
        <v>0</v>
      </c>
      <c r="AW22" s="251">
        <v>0</v>
      </c>
      <c r="AX22" s="251">
        <v>0</v>
      </c>
      <c r="AY22" s="251">
        <v>0</v>
      </c>
      <c r="AZ22" s="251">
        <v>0</v>
      </c>
      <c r="BA22" s="251">
        <v>0</v>
      </c>
      <c r="BC22" s="273"/>
    </row>
    <row r="23" spans="1:56" ht="15.6">
      <c r="A23" s="256"/>
      <c r="B23" s="257"/>
      <c r="C23" s="251"/>
      <c r="D23" s="251"/>
      <c r="E23" s="251"/>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258"/>
      <c r="AL23" s="253"/>
      <c r="AM23" s="251"/>
      <c r="AN23" s="251"/>
      <c r="AO23" s="251"/>
      <c r="AP23" s="251"/>
      <c r="AQ23" s="251"/>
      <c r="AR23" s="251"/>
      <c r="AS23" s="251"/>
      <c r="AT23" s="251"/>
      <c r="AU23" s="251"/>
      <c r="AV23" s="251"/>
      <c r="AW23" s="251"/>
      <c r="AX23" s="251"/>
      <c r="AY23" s="251"/>
      <c r="AZ23" s="251"/>
      <c r="BA23" s="251"/>
      <c r="BB23" s="251"/>
      <c r="BC23" s="251"/>
      <c r="BD23" s="251"/>
    </row>
    <row r="24" spans="1:56" ht="5.25" customHeight="1">
      <c r="A24" s="256"/>
      <c r="B24" s="257"/>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8"/>
      <c r="AL24" s="253"/>
      <c r="AM24" s="251"/>
      <c r="AN24" s="251"/>
      <c r="AO24" s="251"/>
      <c r="AP24" s="251"/>
      <c r="AQ24" s="251"/>
      <c r="AR24" s="251"/>
      <c r="AS24" s="251"/>
      <c r="AT24" s="251"/>
      <c r="AU24" s="251"/>
      <c r="AV24" s="251"/>
      <c r="AW24" s="251"/>
      <c r="AX24" s="251"/>
      <c r="AY24" s="251"/>
      <c r="AZ24" s="251"/>
      <c r="BA24" s="251"/>
      <c r="BB24" s="251"/>
      <c r="BC24" s="251"/>
      <c r="BD24" s="251"/>
    </row>
    <row r="25" spans="1:56" ht="15.75" customHeight="1">
      <c r="A25" s="251"/>
      <c r="C25" s="279" t="s">
        <v>1575</v>
      </c>
      <c r="D25" s="281"/>
      <c r="E25" s="386"/>
      <c r="F25" s="386"/>
      <c r="G25" s="386"/>
      <c r="H25" s="386"/>
      <c r="I25" s="386"/>
      <c r="J25" s="386"/>
      <c r="K25" s="386"/>
      <c r="L25" s="1186"/>
      <c r="M25" s="386"/>
      <c r="N25" s="386"/>
      <c r="O25" s="386"/>
      <c r="P25" s="252"/>
      <c r="Q25" s="252"/>
      <c r="R25" s="252"/>
      <c r="S25" s="252"/>
      <c r="T25" s="252"/>
      <c r="U25" s="252"/>
      <c r="V25" s="252"/>
      <c r="W25" s="252"/>
      <c r="X25" s="252"/>
      <c r="Y25" s="252"/>
      <c r="Z25" s="252"/>
      <c r="AA25" s="252"/>
      <c r="AB25" s="252"/>
      <c r="AC25" s="252"/>
      <c r="AD25" s="253"/>
      <c r="AE25" s="253"/>
      <c r="AF25" s="253"/>
      <c r="AG25" s="253"/>
      <c r="AH25" s="253"/>
      <c r="AI25" s="253"/>
      <c r="AJ25" s="253"/>
      <c r="AK25" s="253"/>
      <c r="AL25" s="253"/>
    </row>
    <row r="26" spans="1:56" ht="33" customHeight="1">
      <c r="A26" s="276" t="s">
        <v>531</v>
      </c>
      <c r="C26" s="276" t="s">
        <v>694</v>
      </c>
      <c r="D26" s="282"/>
      <c r="E26" s="282"/>
      <c r="F26" s="282"/>
      <c r="G26" s="282"/>
      <c r="H26" s="282"/>
      <c r="I26" s="282"/>
      <c r="J26" s="276" t="s">
        <v>2892</v>
      </c>
      <c r="K26" s="282"/>
      <c r="L26" s="278" t="s">
        <v>2893</v>
      </c>
      <c r="M26" s="277"/>
      <c r="N26" s="277"/>
      <c r="O26" s="390" t="s">
        <v>476</v>
      </c>
      <c r="Q26" s="385"/>
      <c r="R26" s="385"/>
      <c r="S26" s="385"/>
      <c r="U26" s="384"/>
      <c r="V26" s="384"/>
      <c r="W26" s="384"/>
      <c r="X26" s="255"/>
      <c r="Y26" s="255"/>
      <c r="Z26" s="255"/>
      <c r="AA26" s="255"/>
      <c r="AB26" s="255"/>
      <c r="AC26" s="255"/>
      <c r="AD26" s="255"/>
      <c r="AE26" s="255"/>
      <c r="AF26" s="255"/>
      <c r="AG26" s="255"/>
      <c r="AH26" s="255"/>
      <c r="AI26" s="255"/>
      <c r="AJ26" s="255"/>
      <c r="AK26" s="255"/>
      <c r="AL26" s="253"/>
    </row>
    <row r="27" spans="1:56" ht="15.6">
      <c r="A27" s="256">
        <f>A22+1</f>
        <v>18</v>
      </c>
      <c r="C27" s="257" t="s">
        <v>1576</v>
      </c>
      <c r="D27" s="251"/>
      <c r="E27" s="251"/>
      <c r="F27" s="251"/>
      <c r="G27" s="251"/>
      <c r="J27" s="389">
        <v>6.67</v>
      </c>
      <c r="K27" s="387"/>
      <c r="L27" s="389">
        <v>6.67</v>
      </c>
      <c r="M27" s="387"/>
      <c r="Q27" s="273"/>
      <c r="R27" s="273"/>
      <c r="S27" s="273"/>
      <c r="U27" s="273"/>
      <c r="V27" s="273"/>
      <c r="W27" s="273"/>
      <c r="X27" s="273"/>
      <c r="AC27" s="255"/>
      <c r="AD27" s="255"/>
      <c r="AE27" s="255"/>
      <c r="AF27" s="255"/>
      <c r="AG27" s="255"/>
      <c r="AH27" s="255"/>
      <c r="AI27" s="255"/>
      <c r="AJ27" s="255"/>
      <c r="AK27" s="255"/>
      <c r="AL27" s="253"/>
    </row>
    <row r="28" spans="1:56" ht="15.6">
      <c r="A28" s="256">
        <f t="shared" ref="A28:A42" si="1">A27+1</f>
        <v>19</v>
      </c>
      <c r="C28" s="257" t="s">
        <v>1577</v>
      </c>
      <c r="D28" s="251"/>
      <c r="E28" s="251"/>
      <c r="F28" s="251"/>
      <c r="G28" s="251"/>
      <c r="J28" s="389">
        <v>20</v>
      </c>
      <c r="K28" s="387"/>
      <c r="L28" s="389">
        <v>20</v>
      </c>
      <c r="M28" s="387"/>
      <c r="Q28" s="273"/>
      <c r="R28" s="273"/>
      <c r="S28" s="273"/>
      <c r="U28" s="273"/>
      <c r="V28" s="273"/>
      <c r="W28" s="273"/>
      <c r="X28" s="273"/>
      <c r="AC28" s="255"/>
      <c r="AD28" s="255"/>
      <c r="AE28" s="255"/>
      <c r="AF28" s="255"/>
      <c r="AG28" s="255"/>
      <c r="AH28" s="255"/>
      <c r="AI28" s="255"/>
      <c r="AJ28" s="255"/>
      <c r="AK28" s="255"/>
      <c r="AL28" s="253"/>
    </row>
    <row r="29" spans="1:56" ht="15.6">
      <c r="A29" s="632">
        <f t="shared" si="1"/>
        <v>20</v>
      </c>
      <c r="B29" s="342"/>
      <c r="C29" s="633" t="s">
        <v>2346</v>
      </c>
      <c r="D29" s="324"/>
      <c r="E29" s="324"/>
      <c r="F29" s="324"/>
      <c r="G29" s="324"/>
      <c r="H29" s="342"/>
      <c r="I29" s="342"/>
      <c r="J29" s="634" t="s">
        <v>1076</v>
      </c>
      <c r="K29" s="635"/>
      <c r="L29" s="634">
        <v>2.76</v>
      </c>
      <c r="M29" s="387"/>
      <c r="Q29" s="273"/>
      <c r="R29" s="273"/>
      <c r="S29" s="273"/>
      <c r="U29" s="273"/>
      <c r="V29" s="273"/>
      <c r="W29" s="273"/>
      <c r="X29" s="273"/>
      <c r="AC29" s="255"/>
      <c r="AD29" s="255"/>
      <c r="AE29" s="255"/>
      <c r="AF29" s="255"/>
      <c r="AG29" s="255"/>
      <c r="AH29" s="255"/>
      <c r="AI29" s="255"/>
      <c r="AJ29" s="255"/>
      <c r="AK29" s="255"/>
      <c r="AL29" s="253"/>
    </row>
    <row r="30" spans="1:56" ht="15.6">
      <c r="A30" s="256">
        <f>A29+1</f>
        <v>21</v>
      </c>
      <c r="C30" s="388">
        <v>390</v>
      </c>
      <c r="J30" s="251">
        <v>1.84</v>
      </c>
      <c r="L30" s="389" t="s">
        <v>1076</v>
      </c>
      <c r="Q30" s="251"/>
      <c r="R30" s="251"/>
      <c r="S30" s="251"/>
      <c r="U30" s="251"/>
      <c r="V30" s="251"/>
      <c r="W30" s="251"/>
      <c r="AC30" s="251"/>
      <c r="AD30" s="258"/>
      <c r="AE30" s="258"/>
      <c r="AF30" s="258"/>
      <c r="AG30" s="258"/>
      <c r="AH30" s="258"/>
      <c r="AI30" s="258"/>
      <c r="AJ30" s="258"/>
      <c r="AK30" s="258"/>
      <c r="AL30" s="253"/>
    </row>
    <row r="31" spans="1:56" ht="15.6">
      <c r="A31" s="256">
        <f t="shared" si="1"/>
        <v>22</v>
      </c>
      <c r="C31" s="388">
        <v>390.1</v>
      </c>
      <c r="J31" s="273" t="s">
        <v>1076</v>
      </c>
      <c r="L31" s="389">
        <v>1.6</v>
      </c>
      <c r="Q31" s="251"/>
      <c r="R31" s="251"/>
      <c r="S31" s="251"/>
      <c r="U31" s="251"/>
      <c r="V31" s="251"/>
      <c r="W31" s="251"/>
      <c r="AC31" s="251"/>
      <c r="AD31" s="258"/>
      <c r="AE31" s="258"/>
      <c r="AF31" s="258"/>
      <c r="AG31" s="258"/>
      <c r="AH31" s="258"/>
      <c r="AI31" s="258"/>
      <c r="AJ31" s="258"/>
      <c r="AK31" s="258"/>
      <c r="AL31" s="253"/>
    </row>
    <row r="32" spans="1:56" ht="15.6">
      <c r="A32" s="256">
        <f t="shared" si="1"/>
        <v>23</v>
      </c>
      <c r="C32" s="388">
        <v>391</v>
      </c>
      <c r="J32" s="251">
        <v>4</v>
      </c>
      <c r="L32" s="387">
        <v>4</v>
      </c>
      <c r="Q32" s="251"/>
      <c r="R32" s="251"/>
      <c r="S32" s="251"/>
      <c r="U32" s="251"/>
      <c r="V32" s="251"/>
      <c r="W32" s="251"/>
      <c r="AC32" s="251"/>
      <c r="AD32" s="258"/>
      <c r="AE32" s="258"/>
      <c r="AF32" s="258"/>
      <c r="AG32" s="258"/>
      <c r="AH32" s="258"/>
      <c r="AI32" s="258"/>
      <c r="AJ32" s="258"/>
      <c r="AK32" s="258"/>
      <c r="AL32" s="253"/>
    </row>
    <row r="33" spans="1:250" ht="15.6">
      <c r="A33" s="256">
        <f t="shared" si="1"/>
        <v>24</v>
      </c>
      <c r="C33" s="388">
        <v>391</v>
      </c>
      <c r="J33" s="273" t="s">
        <v>1076</v>
      </c>
      <c r="L33" s="387">
        <v>3.32</v>
      </c>
      <c r="Q33" s="251"/>
      <c r="R33" s="251"/>
      <c r="S33" s="251"/>
      <c r="U33" s="251"/>
      <c r="V33" s="251"/>
      <c r="W33" s="251"/>
      <c r="AC33" s="251"/>
      <c r="AD33" s="258"/>
      <c r="AE33" s="258"/>
      <c r="AF33" s="258"/>
      <c r="AG33" s="258"/>
      <c r="AH33" s="258"/>
      <c r="AI33" s="258"/>
      <c r="AJ33" s="258"/>
      <c r="AK33" s="258"/>
      <c r="AL33" s="253"/>
    </row>
    <row r="34" spans="1:250" ht="15.6">
      <c r="A34" s="256">
        <f t="shared" si="1"/>
        <v>25</v>
      </c>
      <c r="C34" s="388">
        <v>391.1</v>
      </c>
      <c r="J34" s="251">
        <v>6.84</v>
      </c>
      <c r="L34" s="387">
        <v>19.7</v>
      </c>
      <c r="Q34" s="251"/>
      <c r="R34" s="251"/>
      <c r="S34" s="251"/>
      <c r="U34" s="251"/>
      <c r="V34" s="251"/>
      <c r="W34" s="251"/>
      <c r="AC34" s="251"/>
      <c r="AD34" s="258"/>
      <c r="AE34" s="258"/>
      <c r="AF34" s="258"/>
      <c r="AG34" s="258"/>
      <c r="AH34" s="258"/>
      <c r="AI34" s="258"/>
      <c r="AJ34" s="258"/>
      <c r="AK34" s="258"/>
      <c r="AL34" s="253"/>
    </row>
    <row r="35" spans="1:250" ht="15.6">
      <c r="A35" s="256">
        <f t="shared" si="1"/>
        <v>26</v>
      </c>
      <c r="C35" s="388">
        <v>392</v>
      </c>
      <c r="J35" s="251">
        <v>4.6399999999999997</v>
      </c>
      <c r="L35" s="389">
        <v>3.38</v>
      </c>
      <c r="Q35" s="251"/>
      <c r="R35" s="251"/>
      <c r="S35" s="251"/>
      <c r="U35" s="273"/>
      <c r="V35" s="273"/>
      <c r="W35" s="273"/>
      <c r="AC35" s="251"/>
      <c r="AD35" s="258"/>
      <c r="AE35" s="258"/>
      <c r="AF35" s="258"/>
      <c r="AG35" s="258"/>
      <c r="AH35" s="258"/>
      <c r="AI35" s="258"/>
      <c r="AJ35" s="258"/>
      <c r="AK35" s="258"/>
      <c r="AL35" s="253"/>
    </row>
    <row r="36" spans="1:250" ht="15.6">
      <c r="A36" s="256">
        <f t="shared" si="1"/>
        <v>27</v>
      </c>
      <c r="C36" s="388">
        <v>393</v>
      </c>
      <c r="J36" s="251">
        <v>4</v>
      </c>
      <c r="L36" s="387">
        <v>4</v>
      </c>
      <c r="Q36" s="251"/>
      <c r="R36" s="251"/>
      <c r="S36" s="251"/>
      <c r="U36" s="251"/>
      <c r="V36" s="251"/>
      <c r="W36" s="251"/>
      <c r="AC36" s="251"/>
      <c r="AD36" s="258"/>
      <c r="AE36" s="258"/>
      <c r="AF36" s="258"/>
      <c r="AG36" s="258"/>
      <c r="AH36" s="258"/>
      <c r="AI36" s="258"/>
      <c r="AJ36" s="258"/>
      <c r="AK36" s="258"/>
      <c r="AL36" s="253"/>
    </row>
    <row r="37" spans="1:250" ht="15.6">
      <c r="A37" s="256">
        <f t="shared" si="1"/>
        <v>28</v>
      </c>
      <c r="C37" s="388">
        <v>394</v>
      </c>
      <c r="J37" s="251">
        <v>3.92</v>
      </c>
      <c r="L37" s="387">
        <v>4</v>
      </c>
      <c r="Q37" s="251"/>
      <c r="R37" s="251"/>
      <c r="S37" s="251"/>
      <c r="U37" s="251"/>
      <c r="V37" s="251"/>
      <c r="W37" s="251"/>
      <c r="AC37" s="251"/>
      <c r="AD37" s="258"/>
      <c r="AE37" s="258"/>
      <c r="AF37" s="258"/>
      <c r="AG37" s="258"/>
      <c r="AH37" s="258"/>
      <c r="AI37" s="258"/>
      <c r="AJ37" s="258"/>
      <c r="AK37" s="258"/>
      <c r="AL37" s="253"/>
    </row>
    <row r="38" spans="1:250" ht="15.6">
      <c r="A38" s="256">
        <f t="shared" si="1"/>
        <v>29</v>
      </c>
      <c r="C38" s="388">
        <v>395</v>
      </c>
      <c r="J38" s="251">
        <v>4</v>
      </c>
      <c r="L38" s="387">
        <v>4</v>
      </c>
      <c r="Q38" s="251"/>
      <c r="R38" s="251"/>
      <c r="S38" s="251"/>
      <c r="U38" s="251"/>
      <c r="V38" s="251"/>
      <c r="W38" s="251"/>
      <c r="AC38" s="251"/>
      <c r="AD38" s="258"/>
      <c r="AE38" s="258"/>
      <c r="AF38" s="258"/>
      <c r="AG38" s="258"/>
      <c r="AH38" s="258"/>
      <c r="AI38" s="258"/>
      <c r="AJ38" s="258"/>
      <c r="AK38" s="258"/>
      <c r="AL38" s="253"/>
    </row>
    <row r="39" spans="1:250" ht="15.6">
      <c r="A39" s="256">
        <f t="shared" si="1"/>
        <v>30</v>
      </c>
      <c r="C39" s="388">
        <v>396</v>
      </c>
      <c r="J39" s="251">
        <v>1.44</v>
      </c>
      <c r="L39" s="387">
        <v>1.49</v>
      </c>
      <c r="Q39" s="251"/>
      <c r="R39" s="251"/>
      <c r="S39" s="251"/>
      <c r="U39" s="251"/>
      <c r="V39" s="251"/>
      <c r="W39" s="251"/>
      <c r="AC39" s="251"/>
      <c r="AD39" s="258"/>
      <c r="AE39" s="258"/>
      <c r="AF39" s="258"/>
      <c r="AG39" s="258"/>
      <c r="AH39" s="258"/>
      <c r="AI39" s="258"/>
      <c r="AJ39" s="258"/>
      <c r="AK39" s="258"/>
      <c r="AL39" s="253"/>
    </row>
    <row r="40" spans="1:250" ht="15.6">
      <c r="A40" s="256">
        <f t="shared" si="1"/>
        <v>31</v>
      </c>
      <c r="C40" s="388">
        <v>397</v>
      </c>
      <c r="J40" s="251">
        <v>5.78</v>
      </c>
      <c r="L40" s="387">
        <v>5.28</v>
      </c>
      <c r="Q40" s="251"/>
      <c r="R40" s="251"/>
      <c r="S40" s="251"/>
      <c r="U40" s="251"/>
      <c r="V40" s="251"/>
      <c r="W40" s="251"/>
      <c r="AC40" s="251"/>
      <c r="AD40" s="258"/>
      <c r="AE40" s="258"/>
      <c r="AF40" s="258"/>
      <c r="AG40" s="258"/>
      <c r="AH40" s="258"/>
      <c r="AI40" s="258"/>
      <c r="AJ40" s="258"/>
      <c r="AK40" s="258"/>
      <c r="AL40" s="252"/>
      <c r="AM40" s="250"/>
      <c r="AN40" s="250"/>
      <c r="AO40" s="250"/>
      <c r="AP40" s="250"/>
      <c r="AQ40" s="250"/>
      <c r="AR40" s="250"/>
      <c r="AS40" s="250"/>
      <c r="AT40" s="250"/>
      <c r="AU40" s="250"/>
      <c r="AV40" s="250"/>
      <c r="AW40" s="250"/>
      <c r="AX40" s="250"/>
      <c r="AY40" s="250"/>
      <c r="AZ40" s="250"/>
      <c r="BA40" s="250"/>
      <c r="BB40" s="250"/>
      <c r="BC40" s="250"/>
      <c r="BD40" s="25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row>
    <row r="41" spans="1:250" ht="15.6">
      <c r="A41" s="256">
        <f t="shared" si="1"/>
        <v>32</v>
      </c>
      <c r="C41" s="388">
        <v>397</v>
      </c>
      <c r="J41" s="273" t="s">
        <v>1076</v>
      </c>
      <c r="L41" s="387">
        <v>6.67</v>
      </c>
      <c r="Q41" s="251"/>
      <c r="R41" s="251"/>
      <c r="S41" s="251"/>
      <c r="U41" s="251"/>
      <c r="V41" s="251"/>
      <c r="W41" s="251"/>
      <c r="AC41" s="251"/>
      <c r="AD41" s="258"/>
      <c r="AE41" s="258"/>
      <c r="AF41" s="258"/>
      <c r="AG41" s="258"/>
      <c r="AH41" s="258"/>
      <c r="AI41" s="258"/>
      <c r="AJ41" s="258"/>
      <c r="AK41" s="258"/>
      <c r="AL41" s="252"/>
      <c r="AM41" s="250"/>
      <c r="AN41" s="250"/>
      <c r="AO41" s="250"/>
      <c r="AP41" s="250"/>
      <c r="AQ41" s="250"/>
      <c r="AR41" s="250"/>
      <c r="AS41" s="250"/>
      <c r="AT41" s="250"/>
      <c r="AU41" s="250"/>
      <c r="AV41" s="250"/>
      <c r="AW41" s="250"/>
      <c r="AX41" s="250"/>
      <c r="AY41" s="250"/>
      <c r="AZ41" s="250"/>
      <c r="BA41" s="250"/>
      <c r="BB41" s="250"/>
      <c r="BC41" s="250"/>
      <c r="BD41" s="250"/>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row>
    <row r="42" spans="1:250" ht="15.6">
      <c r="A42" s="256">
        <f t="shared" si="1"/>
        <v>33</v>
      </c>
      <c r="C42" s="257">
        <v>398</v>
      </c>
      <c r="J42" s="251">
        <v>5.98</v>
      </c>
      <c r="L42" s="251">
        <v>1.01</v>
      </c>
      <c r="Q42" s="251"/>
      <c r="R42" s="251"/>
      <c r="S42" s="251"/>
      <c r="U42" s="251"/>
      <c r="V42" s="251"/>
      <c r="W42" s="251"/>
      <c r="AC42" s="251"/>
      <c r="AD42" s="258"/>
      <c r="AE42" s="258"/>
      <c r="AF42" s="258"/>
      <c r="AG42" s="258"/>
      <c r="AH42" s="258"/>
      <c r="AI42" s="258"/>
      <c r="AJ42" s="258"/>
      <c r="AK42" s="258"/>
      <c r="AL42" s="252"/>
      <c r="AM42" s="250"/>
      <c r="AN42" s="250"/>
      <c r="AO42" s="250"/>
      <c r="AP42" s="250"/>
      <c r="AQ42" s="250"/>
      <c r="AR42" s="250"/>
      <c r="AS42" s="250"/>
      <c r="AT42" s="250"/>
      <c r="AU42" s="250"/>
      <c r="AV42" s="250"/>
      <c r="AW42" s="250"/>
      <c r="AX42" s="250"/>
      <c r="AY42" s="250"/>
      <c r="AZ42" s="250"/>
      <c r="BA42" s="250"/>
      <c r="BB42" s="250"/>
      <c r="BC42" s="250"/>
      <c r="BD42" s="250"/>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row>
    <row r="43" spans="1:250" ht="8.25" customHeight="1">
      <c r="A43" s="110"/>
      <c r="B43" s="257"/>
      <c r="C43" s="251"/>
      <c r="D43" s="251"/>
      <c r="E43" s="251"/>
      <c r="F43" s="251"/>
      <c r="J43" s="251"/>
      <c r="K43" s="251"/>
      <c r="L43" s="251"/>
      <c r="M43" s="251"/>
      <c r="N43" s="251"/>
      <c r="O43" s="251"/>
      <c r="P43" s="251"/>
      <c r="Q43" s="251"/>
      <c r="R43" s="251"/>
      <c r="S43" s="251"/>
      <c r="T43" s="251"/>
      <c r="U43" s="251"/>
      <c r="V43" s="251"/>
      <c r="W43" s="251"/>
      <c r="X43" s="251"/>
      <c r="Y43" s="251"/>
      <c r="Z43" s="251"/>
      <c r="AA43" s="251"/>
      <c r="AB43" s="251"/>
      <c r="AC43" s="251"/>
      <c r="AD43" s="258"/>
      <c r="AE43" s="258"/>
      <c r="AF43" s="258"/>
      <c r="AG43" s="258"/>
      <c r="AH43" s="258"/>
      <c r="AI43" s="258"/>
      <c r="AJ43" s="258"/>
      <c r="AK43" s="258"/>
      <c r="AL43" s="252"/>
      <c r="AM43" s="250"/>
      <c r="AN43" s="250"/>
      <c r="AO43" s="250"/>
      <c r="AP43" s="250"/>
      <c r="AQ43" s="250"/>
      <c r="AR43" s="250"/>
      <c r="AS43" s="250"/>
      <c r="AT43" s="250"/>
      <c r="AU43" s="250"/>
      <c r="AV43" s="250"/>
      <c r="AW43" s="250"/>
      <c r="AX43" s="250"/>
      <c r="AY43" s="250"/>
      <c r="AZ43" s="250"/>
      <c r="BA43" s="250"/>
      <c r="BB43" s="250"/>
      <c r="BC43" s="250"/>
      <c r="BD43" s="250"/>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row>
    <row r="44" spans="1:250" ht="15.6">
      <c r="A44" s="256"/>
      <c r="C44" s="259" t="s">
        <v>110</v>
      </c>
      <c r="D44" s="213"/>
      <c r="E44" s="213"/>
      <c r="F44" s="213"/>
      <c r="G44" s="222"/>
      <c r="H44" s="222"/>
      <c r="I44" s="222"/>
      <c r="J44" s="214"/>
      <c r="K44" s="214"/>
      <c r="L44" s="214"/>
      <c r="M44" s="214"/>
      <c r="N44" s="214"/>
      <c r="O44" s="213"/>
      <c r="P44" s="213"/>
      <c r="Q44" s="213"/>
      <c r="R44" s="213"/>
      <c r="S44" s="213"/>
      <c r="T44" s="213"/>
      <c r="U44" s="213"/>
      <c r="V44" s="213"/>
      <c r="W44" s="213"/>
      <c r="X44" s="213"/>
      <c r="Y44" s="213"/>
      <c r="Z44" s="213"/>
      <c r="AA44" s="213"/>
      <c r="AB44" s="213"/>
      <c r="AC44" s="110"/>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row>
    <row r="45" spans="1:250" ht="15.75" customHeight="1">
      <c r="A45" s="256">
        <f>A42+1</f>
        <v>34</v>
      </c>
      <c r="C45" s="260" t="s">
        <v>2763</v>
      </c>
      <c r="D45" s="213"/>
      <c r="E45" s="213"/>
      <c r="F45" s="213"/>
      <c r="G45" s="222"/>
      <c r="H45" s="222"/>
      <c r="I45" s="222"/>
      <c r="J45" s="214"/>
      <c r="K45" s="214"/>
      <c r="L45" s="214"/>
      <c r="M45" s="214"/>
      <c r="N45" s="214"/>
      <c r="O45" s="213"/>
      <c r="P45" s="213"/>
      <c r="Q45" s="213"/>
      <c r="R45" s="213"/>
      <c r="S45" s="213"/>
      <c r="T45" s="213"/>
      <c r="U45" s="213"/>
      <c r="V45" s="213"/>
      <c r="W45" s="213"/>
      <c r="X45" s="213"/>
      <c r="Y45" s="213"/>
      <c r="Z45" s="213"/>
      <c r="AA45" s="213"/>
      <c r="AB45" s="213"/>
      <c r="AC45" s="110"/>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row>
    <row r="46" spans="1:250" ht="15.75" customHeight="1">
      <c r="A46" s="256">
        <f>A45+1</f>
        <v>35</v>
      </c>
      <c r="C46" s="287" t="s">
        <v>364</v>
      </c>
      <c r="D46" s="213"/>
      <c r="E46" s="213"/>
      <c r="F46" s="213"/>
      <c r="G46" s="222"/>
      <c r="H46" s="222"/>
      <c r="I46" s="222"/>
      <c r="J46" s="214"/>
      <c r="K46" s="214"/>
      <c r="L46" s="214"/>
      <c r="M46" s="214"/>
      <c r="N46" s="214"/>
      <c r="O46" s="213"/>
      <c r="P46" s="213"/>
      <c r="Q46" s="213"/>
      <c r="R46" s="213"/>
      <c r="S46" s="213"/>
      <c r="T46" s="213"/>
      <c r="U46" s="213"/>
      <c r="V46" s="213"/>
      <c r="W46" s="213"/>
      <c r="X46" s="213"/>
      <c r="Y46" s="213"/>
      <c r="Z46" s="213"/>
      <c r="AA46" s="213"/>
      <c r="AB46" s="213"/>
      <c r="AC46" s="110"/>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row>
    <row r="47" spans="1:250" ht="15.75" customHeight="1">
      <c r="A47" s="256">
        <f>A46+1</f>
        <v>36</v>
      </c>
      <c r="C47" s="260" t="s">
        <v>3096</v>
      </c>
      <c r="D47" s="213"/>
      <c r="E47" s="213"/>
      <c r="F47" s="213"/>
      <c r="G47" s="222"/>
      <c r="H47" s="222"/>
      <c r="I47" s="222"/>
      <c r="J47" s="214"/>
      <c r="K47" s="214"/>
      <c r="L47" s="214"/>
      <c r="M47" s="214"/>
      <c r="N47" s="214"/>
      <c r="O47" s="213"/>
      <c r="P47" s="213"/>
      <c r="Q47" s="213"/>
      <c r="R47" s="213"/>
      <c r="S47" s="213"/>
      <c r="T47" s="213"/>
      <c r="U47" s="213"/>
      <c r="V47" s="213"/>
      <c r="W47" s="213"/>
      <c r="X47" s="213"/>
      <c r="Y47" s="213"/>
      <c r="Z47" s="213"/>
      <c r="AA47" s="213"/>
      <c r="AB47" s="213"/>
      <c r="AC47" s="110"/>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row>
    <row r="48" spans="1:250" ht="15.75" customHeight="1">
      <c r="A48" s="256">
        <f>A47+1</f>
        <v>37</v>
      </c>
      <c r="C48" s="260" t="s">
        <v>3039</v>
      </c>
      <c r="D48" s="213"/>
      <c r="E48" s="213"/>
      <c r="F48" s="213"/>
      <c r="G48" s="222"/>
      <c r="H48" s="222"/>
      <c r="I48" s="222"/>
      <c r="J48" s="214"/>
      <c r="K48" s="214"/>
      <c r="L48" s="214"/>
      <c r="M48" s="214"/>
      <c r="N48" s="214"/>
      <c r="O48" s="213"/>
      <c r="P48" s="213"/>
      <c r="Q48" s="213"/>
      <c r="R48" s="213"/>
      <c r="S48" s="213"/>
      <c r="T48" s="213"/>
      <c r="U48" s="213"/>
      <c r="V48" s="213"/>
      <c r="W48" s="213"/>
      <c r="X48" s="213"/>
      <c r="Y48" s="213"/>
      <c r="Z48" s="213"/>
      <c r="AA48" s="213"/>
      <c r="AB48" s="213"/>
      <c r="AC48" s="110"/>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row>
    <row r="49" spans="1:250" ht="15.75" customHeight="1">
      <c r="A49" s="256">
        <f>A48+1</f>
        <v>38</v>
      </c>
      <c r="C49" s="261" t="s">
        <v>686</v>
      </c>
      <c r="D49" s="213"/>
      <c r="E49" s="213"/>
      <c r="F49" s="213"/>
      <c r="G49" s="213"/>
      <c r="H49" s="213"/>
      <c r="I49" s="213"/>
      <c r="J49" s="214"/>
      <c r="K49" s="214"/>
      <c r="L49" s="214"/>
      <c r="M49" s="214"/>
      <c r="N49" s="214"/>
      <c r="O49" s="213"/>
      <c r="P49" s="213"/>
      <c r="Q49" s="213"/>
      <c r="R49" s="213"/>
      <c r="S49" s="213"/>
      <c r="T49" s="213"/>
      <c r="U49" s="213"/>
      <c r="V49" s="213"/>
      <c r="W49" s="213"/>
      <c r="X49" s="213"/>
      <c r="Y49" s="213"/>
      <c r="Z49" s="213"/>
      <c r="AA49" s="213"/>
      <c r="AB49" s="213"/>
      <c r="AC49" s="110"/>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row>
    <row r="50" spans="1:250" ht="15.75" customHeight="1">
      <c r="A50" s="256">
        <f>A49+1</f>
        <v>39</v>
      </c>
      <c r="C50" s="261" t="s">
        <v>687</v>
      </c>
      <c r="D50" s="213"/>
      <c r="E50" s="213"/>
      <c r="F50" s="213"/>
      <c r="G50" s="222"/>
      <c r="H50" s="222"/>
      <c r="I50" s="222"/>
      <c r="J50" s="214"/>
      <c r="K50" s="214"/>
      <c r="L50" s="214"/>
      <c r="M50" s="214"/>
      <c r="N50" s="214"/>
      <c r="O50" s="213"/>
      <c r="P50" s="213"/>
      <c r="Q50" s="213"/>
      <c r="R50" s="213"/>
      <c r="S50" s="213"/>
      <c r="T50" s="213"/>
      <c r="U50" s="213"/>
      <c r="V50" s="213"/>
      <c r="W50" s="213"/>
      <c r="X50" s="213"/>
      <c r="Y50" s="213"/>
      <c r="Z50" s="213"/>
      <c r="AA50" s="213"/>
      <c r="AB50" s="213"/>
      <c r="AC50" s="11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row>
    <row r="51" spans="1:250" ht="12.75" customHeight="1">
      <c r="P51" s="54"/>
      <c r="Q51" s="54"/>
      <c r="R51" s="54"/>
      <c r="S51" s="54"/>
    </row>
    <row r="52" spans="1:250" ht="12.75" customHeight="1">
      <c r="P52" s="54"/>
      <c r="Q52" s="54"/>
      <c r="R52" s="54"/>
      <c r="S52" s="54"/>
      <c r="T52" s="54"/>
      <c r="U52" s="54"/>
      <c r="V52" s="54"/>
      <c r="W52" s="54"/>
    </row>
    <row r="53" spans="1:250" ht="12.75" customHeight="1">
      <c r="P53" s="54"/>
      <c r="Q53" s="54"/>
      <c r="R53" s="54"/>
      <c r="S53" s="54"/>
      <c r="T53" s="54"/>
      <c r="U53" s="54"/>
      <c r="V53" s="54"/>
      <c r="W53" s="54"/>
    </row>
    <row r="54" spans="1:250" ht="12.75" customHeight="1">
      <c r="P54" s="54"/>
      <c r="Q54" s="54"/>
      <c r="R54" s="54"/>
      <c r="S54" s="54"/>
      <c r="T54" s="54"/>
      <c r="U54" s="54"/>
      <c r="V54" s="54"/>
      <c r="W54" s="54"/>
    </row>
    <row r="55" spans="1:250" ht="12.75" customHeight="1">
      <c r="P55" s="54"/>
      <c r="Q55" s="54"/>
      <c r="R55" s="54"/>
      <c r="S55" s="54"/>
      <c r="T55" s="54"/>
      <c r="U55" s="54"/>
      <c r="V55" s="54"/>
      <c r="W55" s="54"/>
    </row>
    <row r="56" spans="1:250" ht="12.75" customHeight="1">
      <c r="P56" s="54"/>
      <c r="Q56" s="54"/>
      <c r="R56" s="54"/>
      <c r="S56" s="54"/>
      <c r="T56" s="54"/>
      <c r="U56" s="54"/>
      <c r="V56" s="54"/>
      <c r="W56" s="54"/>
    </row>
    <row r="57" spans="1:250" ht="12.75" customHeight="1">
      <c r="P57" s="54"/>
      <c r="Q57" s="54"/>
      <c r="R57" s="54"/>
      <c r="S57" s="54"/>
      <c r="T57" s="54"/>
      <c r="U57" s="54"/>
      <c r="V57" s="54"/>
      <c r="W57" s="54"/>
    </row>
    <row r="58" spans="1:250" ht="12.75" customHeight="1">
      <c r="P58" s="54"/>
      <c r="Q58" s="54"/>
      <c r="R58" s="54"/>
      <c r="S58" s="54"/>
      <c r="T58" s="54"/>
      <c r="U58" s="54"/>
      <c r="V58" s="54"/>
      <c r="W58" s="54"/>
    </row>
    <row r="59" spans="1:250" ht="12.75" customHeight="1">
      <c r="P59" s="54"/>
      <c r="Q59" s="54"/>
      <c r="R59" s="54"/>
      <c r="S59" s="54"/>
      <c r="T59" s="54"/>
      <c r="U59" s="54"/>
      <c r="V59" s="54"/>
      <c r="W59" s="54"/>
    </row>
    <row r="60" spans="1:250" ht="12.75" customHeight="1">
      <c r="P60" s="54"/>
      <c r="Q60" s="54"/>
      <c r="R60" s="54"/>
      <c r="S60" s="54"/>
      <c r="T60" s="54"/>
      <c r="U60" s="54"/>
      <c r="V60" s="54"/>
      <c r="W60" s="54"/>
    </row>
    <row r="61" spans="1:250" ht="12.75" customHeight="1">
      <c r="P61" s="54"/>
      <c r="Q61" s="54"/>
      <c r="R61" s="54"/>
      <c r="S61" s="54"/>
      <c r="T61" s="54"/>
      <c r="U61" s="54"/>
      <c r="V61" s="54"/>
      <c r="W61" s="54"/>
    </row>
    <row r="62" spans="1:250" ht="12.75" customHeight="1">
      <c r="P62" s="54"/>
      <c r="Q62" s="54"/>
      <c r="R62" s="54"/>
      <c r="S62" s="54"/>
      <c r="T62" s="54"/>
      <c r="U62" s="54"/>
      <c r="V62" s="54"/>
      <c r="W62" s="54"/>
    </row>
    <row r="63" spans="1:250" ht="12.75" customHeight="1">
      <c r="P63" s="54"/>
      <c r="Q63" s="54"/>
      <c r="R63" s="54"/>
      <c r="S63" s="54"/>
      <c r="T63" s="54"/>
      <c r="U63" s="54"/>
      <c r="V63" s="54"/>
      <c r="W63" s="54"/>
    </row>
    <row r="64" spans="1:250" ht="12.75" customHeight="1"/>
    <row r="65" ht="12.75" customHeight="1"/>
    <row r="66" ht="12.75" customHeight="1"/>
    <row r="67" ht="12.75" customHeight="1"/>
  </sheetData>
  <sheetProtection sheet="1" objects="1" scenarios="1"/>
  <mergeCells count="9">
    <mergeCell ref="A2:W2"/>
    <mergeCell ref="A1:W1"/>
    <mergeCell ref="AM4:BC4"/>
    <mergeCell ref="C4:W4"/>
    <mergeCell ref="X4:AK4"/>
    <mergeCell ref="X1:AL1"/>
    <mergeCell ref="X2:AL2"/>
    <mergeCell ref="AM1:BC1"/>
    <mergeCell ref="AM2:BC2"/>
  </mergeCells>
  <printOptions horizontalCentered="1"/>
  <pageMargins left="0.5" right="0.5" top="0.81" bottom="0.5" header="0.5" footer="0.5"/>
  <pageSetup paperSize="5" scale="37" fitToWidth="3" orientation="landscape" r:id="rId1"/>
  <headerFooter alignWithMargins="0">
    <oddHeader>&amp;C&amp;"Times New Roman,Bold"&amp;16ATTACHMENT D, Page &amp;P of &amp;N
EVERGY</oddHeader>
    <oddFooter>&amp;R&amp;1#&amp;"Calibri"&amp;10&amp;KA80000Internal Use Only</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pageSetUpPr fitToPage="1"/>
  </sheetPr>
  <dimension ref="A1:J42"/>
  <sheetViews>
    <sheetView view="pageBreakPreview" zoomScale="90" zoomScaleNormal="100" zoomScaleSheetLayoutView="90" workbookViewId="0">
      <selection activeCell="A32" sqref="A32"/>
    </sheetView>
  </sheetViews>
  <sheetFormatPr defaultColWidth="9.109375" defaultRowHeight="13.2"/>
  <cols>
    <col min="1" max="1" width="25.6640625" style="262" customWidth="1"/>
    <col min="2" max="5" width="17.6640625" style="262" customWidth="1"/>
    <col min="6" max="6" width="23" style="262" customWidth="1"/>
    <col min="7" max="7" width="13.44140625" style="262" customWidth="1"/>
    <col min="8" max="8" width="11.5546875" style="262" bestFit="1" customWidth="1"/>
    <col min="9" max="9" width="11.88671875" style="262" bestFit="1" customWidth="1"/>
    <col min="10" max="10" width="2.6640625" style="262" customWidth="1"/>
    <col min="11" max="11" width="6.33203125" style="262" bestFit="1" customWidth="1"/>
    <col min="12" max="13" width="14.6640625" style="262" bestFit="1" customWidth="1"/>
    <col min="14" max="14" width="14" style="262" bestFit="1" customWidth="1"/>
    <col min="15" max="15" width="2.33203125" style="262" customWidth="1"/>
    <col min="16" max="16" width="6.33203125" style="262" bestFit="1" customWidth="1"/>
    <col min="17" max="17" width="15.109375" style="262" bestFit="1" customWidth="1"/>
    <col min="18" max="18" width="14.109375" style="262" bestFit="1" customWidth="1"/>
    <col min="19" max="19" width="15.44140625" style="262" bestFit="1" customWidth="1"/>
    <col min="20" max="16384" width="9.109375" style="262"/>
  </cols>
  <sheetData>
    <row r="1" spans="1:10" ht="21">
      <c r="A1" s="1803" t="s">
        <v>688</v>
      </c>
      <c r="B1" s="1804"/>
      <c r="C1" s="1804"/>
      <c r="D1" s="1804"/>
      <c r="E1" s="1804"/>
      <c r="F1" s="1804"/>
    </row>
    <row r="2" spans="1:10" ht="18.600000000000001">
      <c r="A2" s="1805" t="s">
        <v>2767</v>
      </c>
      <c r="B2" s="1805"/>
      <c r="C2" s="1805"/>
      <c r="D2" s="1805"/>
      <c r="E2" s="1805"/>
      <c r="F2" s="1805"/>
      <c r="G2" s="1"/>
    </row>
    <row r="3" spans="1:10" ht="15.6">
      <c r="A3" s="2"/>
      <c r="B3" s="2"/>
      <c r="C3" s="2"/>
      <c r="D3" s="2"/>
      <c r="E3" s="2"/>
      <c r="F3" s="2"/>
      <c r="G3" s="1"/>
    </row>
    <row r="4" spans="1:10" ht="18.600000000000001">
      <c r="A4" s="23"/>
      <c r="B4" s="1802" t="s">
        <v>689</v>
      </c>
      <c r="C4" s="1802"/>
      <c r="D4" s="1802"/>
      <c r="E4" s="1802"/>
      <c r="F4" s="1802"/>
      <c r="J4" s="263"/>
    </row>
    <row r="5" spans="1:10" ht="15.6">
      <c r="A5" s="2"/>
      <c r="B5" s="224" t="s">
        <v>3040</v>
      </c>
      <c r="C5" s="224" t="s">
        <v>3041</v>
      </c>
      <c r="D5" s="224" t="s">
        <v>3042</v>
      </c>
      <c r="E5" s="224" t="s">
        <v>3043</v>
      </c>
      <c r="F5" s="224" t="s">
        <v>3044</v>
      </c>
      <c r="J5" s="263"/>
    </row>
    <row r="6" spans="1:10" ht="15.6">
      <c r="A6" s="2"/>
      <c r="B6" s="221" t="s">
        <v>113</v>
      </c>
      <c r="C6" s="221" t="s">
        <v>114</v>
      </c>
      <c r="D6" s="221" t="s">
        <v>536</v>
      </c>
      <c r="E6" s="221" t="s">
        <v>753</v>
      </c>
      <c r="F6" s="221" t="s">
        <v>537</v>
      </c>
      <c r="J6" s="263"/>
    </row>
    <row r="7" spans="1:10" ht="15.6">
      <c r="A7" s="2"/>
      <c r="B7" s="221"/>
      <c r="C7" s="221"/>
      <c r="D7" s="221"/>
      <c r="E7" s="221"/>
      <c r="F7" s="221"/>
      <c r="J7" s="263"/>
    </row>
    <row r="8" spans="1:10" ht="15.6">
      <c r="A8" s="264" t="s">
        <v>690</v>
      </c>
      <c r="B8" s="225">
        <v>-858916</v>
      </c>
      <c r="C8" s="445">
        <v>0.6169</v>
      </c>
      <c r="D8" s="225">
        <f>B8*C8</f>
        <v>-529865.28040000005</v>
      </c>
      <c r="E8" s="445">
        <v>0.3831</v>
      </c>
      <c r="F8" s="1185">
        <v>-329051</v>
      </c>
      <c r="H8" s="265"/>
      <c r="J8" s="263"/>
    </row>
    <row r="9" spans="1:10" ht="15.6">
      <c r="A9" s="163"/>
      <c r="B9" s="225"/>
      <c r="C9" s="226"/>
      <c r="D9" s="225"/>
      <c r="E9" s="226"/>
      <c r="F9" s="225"/>
      <c r="G9" s="265"/>
      <c r="H9" s="265"/>
      <c r="J9" s="265"/>
    </row>
    <row r="10" spans="1:10" ht="15.6">
      <c r="A10" s="163"/>
      <c r="B10" s="225"/>
      <c r="C10" s="226"/>
      <c r="D10" s="225"/>
      <c r="E10" s="226"/>
      <c r="F10" s="225"/>
      <c r="G10" s="265"/>
      <c r="H10" s="265"/>
      <c r="J10" s="265"/>
    </row>
    <row r="11" spans="1:10" ht="18.600000000000001">
      <c r="A11" s="23"/>
      <c r="B11" s="1802" t="s">
        <v>691</v>
      </c>
      <c r="C11" s="1802"/>
      <c r="D11" s="1802"/>
      <c r="E11" s="1802"/>
      <c r="F11" s="1802"/>
    </row>
    <row r="12" spans="1:10" ht="15.6">
      <c r="A12" s="2"/>
      <c r="B12" s="224" t="s">
        <v>3040</v>
      </c>
      <c r="C12" s="224" t="s">
        <v>3041</v>
      </c>
      <c r="D12" s="224" t="s">
        <v>3042</v>
      </c>
      <c r="E12" s="224" t="s">
        <v>3043</v>
      </c>
      <c r="F12" s="224" t="s">
        <v>3044</v>
      </c>
    </row>
    <row r="13" spans="1:10" ht="15.6">
      <c r="A13" s="2"/>
      <c r="B13" s="221" t="s">
        <v>113</v>
      </c>
      <c r="C13" s="221" t="s">
        <v>114</v>
      </c>
      <c r="D13" s="221" t="s">
        <v>536</v>
      </c>
      <c r="E13" s="221" t="s">
        <v>753</v>
      </c>
      <c r="F13" s="221" t="s">
        <v>537</v>
      </c>
    </row>
    <row r="14" spans="1:10" ht="15.6">
      <c r="B14" s="221"/>
      <c r="C14" s="221"/>
      <c r="D14" s="221"/>
      <c r="E14" s="221"/>
      <c r="F14" s="221"/>
    </row>
    <row r="15" spans="1:10" ht="15.6">
      <c r="A15" s="2" t="s">
        <v>692</v>
      </c>
      <c r="B15" s="225">
        <v>422919</v>
      </c>
      <c r="C15" s="445">
        <v>0.6169</v>
      </c>
      <c r="D15" s="225">
        <f>B15*C15</f>
        <v>260898.7311</v>
      </c>
      <c r="E15" s="445">
        <v>0.3831</v>
      </c>
      <c r="F15" s="225">
        <f>B15*E15</f>
        <v>162020.2689</v>
      </c>
    </row>
    <row r="16" spans="1:10" ht="17.399999999999999">
      <c r="A16" s="2" t="s">
        <v>693</v>
      </c>
      <c r="B16" s="1142">
        <v>1116760.56</v>
      </c>
      <c r="C16" s="445">
        <v>0.6169</v>
      </c>
      <c r="D16" s="1142">
        <f>B16*C16</f>
        <v>688929.58946400008</v>
      </c>
      <c r="E16" s="445">
        <v>0.3831</v>
      </c>
      <c r="F16" s="1142">
        <f>B16*E16</f>
        <v>427830.97053600004</v>
      </c>
    </row>
    <row r="17" spans="1:8" ht="15.6">
      <c r="A17" s="266" t="s">
        <v>468</v>
      </c>
      <c r="B17" s="225">
        <f>SUM(B15:B16)</f>
        <v>1539679.56</v>
      </c>
      <c r="C17" s="445"/>
      <c r="D17" s="225">
        <f>SUM(D15:D16)</f>
        <v>949828.32056400005</v>
      </c>
      <c r="E17" s="445"/>
      <c r="F17" s="225">
        <f>SUM(F15:F16)</f>
        <v>589851.239436</v>
      </c>
      <c r="G17" s="265"/>
      <c r="H17" s="265"/>
    </row>
    <row r="18" spans="1:8" ht="15.6">
      <c r="A18" s="2"/>
      <c r="B18" s="227"/>
      <c r="C18" s="228"/>
      <c r="D18" s="227"/>
      <c r="E18" s="228"/>
      <c r="F18" s="227"/>
      <c r="G18" s="265"/>
      <c r="H18" s="265"/>
    </row>
    <row r="19" spans="1:8" ht="15.6">
      <c r="A19" s="229"/>
      <c r="B19" s="2"/>
      <c r="C19" s="2"/>
      <c r="D19" s="2"/>
      <c r="E19" s="2"/>
      <c r="F19" s="2"/>
    </row>
    <row r="20" spans="1:8" ht="18.600000000000001">
      <c r="A20" s="2"/>
      <c r="B20" s="1802" t="s">
        <v>2333</v>
      </c>
      <c r="C20" s="1802"/>
      <c r="D20" s="1802"/>
      <c r="E20" s="1802"/>
      <c r="F20" s="1802"/>
    </row>
    <row r="21" spans="1:8" ht="15.6">
      <c r="A21" s="2"/>
      <c r="B21" s="224" t="s">
        <v>3040</v>
      </c>
      <c r="C21" s="224" t="s">
        <v>3041</v>
      </c>
      <c r="D21" s="224" t="s">
        <v>3042</v>
      </c>
      <c r="E21" s="224" t="s">
        <v>3043</v>
      </c>
      <c r="F21" s="224" t="s">
        <v>3044</v>
      </c>
    </row>
    <row r="22" spans="1:8" ht="15.6">
      <c r="A22" s="2"/>
      <c r="B22" s="221" t="s">
        <v>113</v>
      </c>
      <c r="C22" s="221" t="s">
        <v>114</v>
      </c>
      <c r="D22" s="221" t="s">
        <v>536</v>
      </c>
      <c r="E22" s="221" t="s">
        <v>753</v>
      </c>
      <c r="F22" s="221" t="s">
        <v>537</v>
      </c>
    </row>
    <row r="23" spans="1:8" ht="15.6">
      <c r="A23" s="2"/>
      <c r="B23" s="221"/>
      <c r="C23" s="221"/>
      <c r="D23" s="221"/>
      <c r="E23" s="221"/>
      <c r="F23" s="221"/>
    </row>
    <row r="24" spans="1:8" ht="15.6">
      <c r="A24" s="266" t="s">
        <v>468</v>
      </c>
      <c r="B24" s="225">
        <v>0</v>
      </c>
      <c r="C24" s="445">
        <v>0</v>
      </c>
      <c r="D24" s="225">
        <f>B24*C24</f>
        <v>0</v>
      </c>
      <c r="E24" s="445">
        <v>0</v>
      </c>
      <c r="F24" s="225">
        <f>B24*E24</f>
        <v>0</v>
      </c>
      <c r="G24" s="115"/>
      <c r="H24" s="115"/>
    </row>
    <row r="25" spans="1:8" ht="15.6">
      <c r="A25" s="163"/>
      <c r="B25" s="225"/>
      <c r="C25" s="226"/>
      <c r="D25" s="225"/>
      <c r="E25" s="226"/>
      <c r="F25" s="225"/>
      <c r="G25" s="115"/>
      <c r="H25" s="115"/>
    </row>
    <row r="26" spans="1:8" ht="15.6">
      <c r="A26" s="2"/>
      <c r="B26" s="2"/>
      <c r="C26" s="2"/>
      <c r="D26" s="2"/>
      <c r="E26" s="2"/>
      <c r="F26" s="2"/>
    </row>
    <row r="27" spans="1:8" ht="18.600000000000001">
      <c r="A27" s="2"/>
      <c r="B27" s="2"/>
      <c r="C27" s="2"/>
      <c r="D27" s="1802" t="s">
        <v>2334</v>
      </c>
      <c r="E27" s="1802"/>
      <c r="F27" s="1802"/>
    </row>
    <row r="28" spans="1:8" ht="15.6">
      <c r="A28" s="2"/>
      <c r="B28" s="2"/>
      <c r="C28" s="2"/>
      <c r="D28" s="230" t="s">
        <v>2892</v>
      </c>
      <c r="E28" s="2"/>
      <c r="F28" s="230" t="s">
        <v>2893</v>
      </c>
    </row>
    <row r="29" spans="1:8" ht="15.6">
      <c r="A29" s="2"/>
      <c r="B29" s="2"/>
      <c r="C29" s="2"/>
      <c r="D29" s="1143">
        <f>D8+D17+D24</f>
        <v>419963.04016400001</v>
      </c>
      <c r="E29" s="216"/>
      <c r="F29" s="396">
        <f>+F8+F17+F24</f>
        <v>260800.239436</v>
      </c>
      <c r="G29" s="115"/>
      <c r="H29" s="115"/>
    </row>
    <row r="30" spans="1:8" ht="15.6">
      <c r="A30" s="2"/>
      <c r="B30" s="2"/>
      <c r="C30" s="2"/>
      <c r="D30" s="171" t="s">
        <v>2335</v>
      </c>
      <c r="E30" s="2"/>
      <c r="F30" s="171" t="s">
        <v>2335</v>
      </c>
      <c r="G30" s="115"/>
      <c r="H30" s="115"/>
    </row>
    <row r="31" spans="1:8" ht="15.6">
      <c r="A31" s="4" t="s">
        <v>1571</v>
      </c>
      <c r="B31" s="2"/>
      <c r="C31" s="2"/>
      <c r="D31" s="2"/>
      <c r="E31" s="2"/>
      <c r="F31" s="2"/>
    </row>
    <row r="32" spans="1:8" ht="18.600000000000001">
      <c r="A32" s="21" t="s">
        <v>141</v>
      </c>
      <c r="B32" s="2"/>
      <c r="C32" s="2"/>
      <c r="D32" s="2"/>
      <c r="E32" s="2"/>
      <c r="F32" s="2"/>
    </row>
    <row r="33" spans="1:6" ht="15.6">
      <c r="A33" s="2" t="s">
        <v>3045</v>
      </c>
      <c r="B33" s="2"/>
      <c r="C33" s="2"/>
      <c r="D33" s="2"/>
      <c r="E33" s="2"/>
      <c r="F33" s="2"/>
    </row>
    <row r="34" spans="1:6" s="55" customFormat="1" ht="18.600000000000001">
      <c r="A34" s="267" t="s">
        <v>3046</v>
      </c>
      <c r="B34" s="163"/>
      <c r="C34" s="163"/>
      <c r="D34" s="163"/>
      <c r="E34" s="163"/>
      <c r="F34" s="163"/>
    </row>
    <row r="35" spans="1:6" s="55" customFormat="1" ht="15.6">
      <c r="A35" s="163" t="s">
        <v>2765</v>
      </c>
      <c r="B35" s="163"/>
      <c r="C35" s="163"/>
      <c r="D35" s="163"/>
      <c r="E35" s="163"/>
      <c r="F35" s="163"/>
    </row>
    <row r="36" spans="1:6" s="55" customFormat="1" ht="18.600000000000001">
      <c r="A36" s="21" t="s">
        <v>3047</v>
      </c>
      <c r="B36" s="2"/>
      <c r="C36" s="2"/>
      <c r="D36" s="2"/>
      <c r="E36" s="2"/>
      <c r="F36" s="2"/>
    </row>
    <row r="37" spans="1:6" s="55" customFormat="1" ht="15.6">
      <c r="A37" s="2" t="s">
        <v>2766</v>
      </c>
      <c r="B37" s="2"/>
      <c r="C37" s="2"/>
      <c r="D37" s="2"/>
      <c r="E37" s="2"/>
      <c r="F37" s="2"/>
    </row>
    <row r="38" spans="1:6" s="55" customFormat="1" ht="15.6">
      <c r="A38" s="2" t="s">
        <v>3186</v>
      </c>
      <c r="B38" s="2"/>
      <c r="C38" s="2"/>
      <c r="D38" s="2"/>
      <c r="E38" s="2"/>
      <c r="F38" s="2"/>
    </row>
    <row r="39" spans="1:6" s="55" customFormat="1" ht="18.600000000000001">
      <c r="A39" s="267" t="s">
        <v>2336</v>
      </c>
      <c r="B39" s="163"/>
      <c r="C39" s="2"/>
      <c r="D39" s="2"/>
      <c r="E39" s="2"/>
      <c r="F39" s="2"/>
    </row>
    <row r="40" spans="1:6" s="55" customFormat="1" ht="15.6">
      <c r="A40" s="2" t="s">
        <v>750</v>
      </c>
      <c r="B40" s="2"/>
      <c r="C40" s="2"/>
      <c r="D40" s="2"/>
      <c r="E40" s="2"/>
      <c r="F40" s="2"/>
    </row>
    <row r="41" spans="1:6" ht="15.6">
      <c r="A41" s="2"/>
      <c r="B41" s="2"/>
      <c r="C41" s="2"/>
      <c r="D41" s="2"/>
      <c r="E41" s="2"/>
      <c r="F41" s="2"/>
    </row>
    <row r="42" spans="1:6" ht="15.6">
      <c r="A42" s="2"/>
      <c r="B42" s="2"/>
      <c r="C42" s="2"/>
      <c r="D42" s="2"/>
      <c r="E42" s="2"/>
      <c r="F42" s="2"/>
    </row>
  </sheetData>
  <sheetProtection sheet="1"/>
  <mergeCells count="6">
    <mergeCell ref="B20:F20"/>
    <mergeCell ref="D27:F27"/>
    <mergeCell ref="B4:F4"/>
    <mergeCell ref="A1:F1"/>
    <mergeCell ref="A2:F2"/>
    <mergeCell ref="B11:F11"/>
  </mergeCells>
  <phoneticPr fontId="26" type="noConversion"/>
  <printOptions horizontalCentered="1"/>
  <pageMargins left="0.75" right="0.5" top="1.45" bottom="0.75" header="1" footer="0.5"/>
  <pageSetup scale="79" orientation="portrait" r:id="rId1"/>
  <headerFooter alignWithMargins="0">
    <oddHeader>&amp;C&amp;"Times New Roman,Bold"&amp;16ATTACHMENT D, Page &amp;P of &amp;N
EVERGY</oddHeader>
    <oddFooter>&amp;R&amp;1#&amp;"Calibri"&amp;10&amp;KA80000Internal Use Only</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pageSetUpPr fitToPage="1"/>
  </sheetPr>
  <dimension ref="A1:AW121"/>
  <sheetViews>
    <sheetView view="pageBreakPreview" zoomScaleNormal="75" zoomScaleSheetLayoutView="100" workbookViewId="0">
      <selection sqref="A1:U1"/>
    </sheetView>
  </sheetViews>
  <sheetFormatPr defaultRowHeight="13.2"/>
  <cols>
    <col min="1" max="1" width="4.109375" style="44" customWidth="1"/>
    <col min="2" max="2" width="50.109375" customWidth="1"/>
    <col min="3" max="3" width="14.88671875" customWidth="1"/>
    <col min="4" max="4" width="18.6640625" bestFit="1" customWidth="1"/>
    <col min="5" max="5" width="0.88671875" customWidth="1"/>
    <col min="6" max="6" width="16.6640625" bestFit="1" customWidth="1"/>
    <col min="7" max="7" width="0.88671875" customWidth="1"/>
    <col min="8" max="8" width="18.109375" bestFit="1" customWidth="1"/>
    <col min="9" max="9" width="0.88671875" customWidth="1"/>
    <col min="10" max="10" width="16.88671875" customWidth="1"/>
    <col min="11" max="11" width="0.88671875" customWidth="1"/>
    <col min="12" max="12" width="16" bestFit="1" customWidth="1"/>
    <col min="13" max="13" width="0.88671875" customWidth="1"/>
    <col min="14" max="14" width="16" customWidth="1"/>
    <col min="15" max="15" width="0.88671875" customWidth="1"/>
    <col min="16" max="16" width="15.109375" customWidth="1"/>
    <col min="17" max="17" width="0.88671875" customWidth="1"/>
    <col min="18" max="18" width="16.6640625" customWidth="1"/>
    <col min="19" max="19" width="0.88671875" customWidth="1"/>
    <col min="20" max="20" width="14.44140625" customWidth="1"/>
    <col min="21" max="21" width="3" customWidth="1"/>
    <col min="22" max="22" width="20.44140625" bestFit="1" customWidth="1"/>
    <col min="23" max="23" width="1.88671875" style="40" customWidth="1"/>
    <col min="24" max="24" width="16.88671875" customWidth="1"/>
    <col min="25" max="25" width="0.88671875" customWidth="1"/>
    <col min="26" max="26" width="2.6640625" bestFit="1" customWidth="1"/>
    <col min="27" max="27" width="0.88671875" customWidth="1"/>
    <col min="28" max="28" width="19.5546875" bestFit="1" customWidth="1"/>
    <col min="29" max="29" width="0.88671875" customWidth="1"/>
    <col min="30" max="30" width="20.109375" bestFit="1" customWidth="1"/>
    <col min="31" max="31" width="0.88671875" customWidth="1"/>
    <col min="32" max="32" width="14.44140625" bestFit="1" customWidth="1"/>
    <col min="34" max="34" width="17.88671875" bestFit="1" customWidth="1"/>
    <col min="35" max="35" width="12.33203125" bestFit="1" customWidth="1"/>
    <col min="36" max="37" width="14" bestFit="1" customWidth="1"/>
    <col min="39" max="39" width="14" bestFit="1" customWidth="1"/>
    <col min="40" max="40" width="12.33203125" bestFit="1" customWidth="1"/>
    <col min="41" max="42" width="12.33203125" customWidth="1"/>
    <col min="43" max="43" width="12.33203125" bestFit="1" customWidth="1"/>
    <col min="44" max="44" width="16" bestFit="1" customWidth="1"/>
  </cols>
  <sheetData>
    <row r="1" spans="1:49" ht="21">
      <c r="A1" s="1713" t="s">
        <v>595</v>
      </c>
      <c r="B1" s="1790"/>
      <c r="C1" s="1790"/>
      <c r="D1" s="1790"/>
      <c r="E1" s="1790"/>
      <c r="F1" s="1790"/>
      <c r="G1" s="1790"/>
      <c r="H1" s="1790"/>
      <c r="I1" s="1790"/>
      <c r="J1" s="1790"/>
      <c r="K1" s="1790"/>
      <c r="L1" s="1790"/>
      <c r="M1" s="1790"/>
      <c r="N1" s="1790"/>
      <c r="O1" s="1790"/>
      <c r="P1" s="1790"/>
      <c r="Q1" s="1790"/>
      <c r="R1" s="1790"/>
      <c r="S1" s="1790"/>
      <c r="T1" s="1790"/>
      <c r="U1" s="1790"/>
    </row>
    <row r="2" spans="1:49" ht="19.2">
      <c r="A2" s="1725" t="str">
        <f>' Net Monthly Bill'!A2:B2</f>
        <v>For Contract Year Beginning June 1, 2024, Based on 2023 Data</v>
      </c>
      <c r="B2" s="1726"/>
      <c r="C2" s="1726"/>
      <c r="D2" s="1726"/>
      <c r="E2" s="1726"/>
      <c r="F2" s="1726"/>
      <c r="G2" s="1726"/>
      <c r="H2" s="1726"/>
      <c r="I2" s="1726"/>
      <c r="J2" s="1726"/>
      <c r="K2" s="1726"/>
      <c r="L2" s="1726"/>
      <c r="M2" s="1726"/>
      <c r="N2" s="1726"/>
      <c r="O2" s="1726"/>
      <c r="P2" s="1726"/>
      <c r="Q2" s="1726"/>
      <c r="R2" s="1726"/>
      <c r="S2" s="1726"/>
      <c r="T2" s="1726"/>
      <c r="U2" s="1726"/>
    </row>
    <row r="3" spans="1:49" ht="13.8" thickBot="1">
      <c r="A3" s="986"/>
      <c r="B3" s="987"/>
      <c r="C3" s="987"/>
      <c r="D3" s="988"/>
      <c r="E3" s="988"/>
      <c r="F3" s="989"/>
      <c r="G3" s="989"/>
      <c r="H3" s="989"/>
      <c r="I3" s="989"/>
      <c r="J3" s="990"/>
      <c r="K3" s="990"/>
      <c r="L3" s="990"/>
      <c r="M3" s="990"/>
      <c r="N3" s="990"/>
      <c r="O3" s="990"/>
      <c r="P3" s="990"/>
      <c r="Q3" s="990"/>
      <c r="R3" s="990"/>
      <c r="S3" s="990"/>
      <c r="T3" s="990"/>
      <c r="U3" s="990"/>
      <c r="V3" s="56"/>
      <c r="W3" s="56"/>
      <c r="X3" s="44"/>
      <c r="Y3" s="44"/>
      <c r="Z3" s="44"/>
      <c r="AA3" s="44"/>
      <c r="AB3" s="44"/>
      <c r="AC3" s="44"/>
      <c r="AD3" s="44"/>
      <c r="AE3" s="44"/>
      <c r="AF3" s="44"/>
    </row>
    <row r="4" spans="1:49" ht="14.4" thickBot="1">
      <c r="A4" s="991"/>
      <c r="B4" s="992" t="s">
        <v>111</v>
      </c>
      <c r="C4" s="1475">
        <f>DATE(2023,12,31)</f>
        <v>45291</v>
      </c>
      <c r="D4" s="993"/>
      <c r="E4" s="993"/>
      <c r="F4" s="994"/>
      <c r="G4" s="994"/>
      <c r="H4" s="995"/>
      <c r="I4" s="994"/>
      <c r="J4" s="994"/>
      <c r="K4" s="994"/>
      <c r="L4" s="994"/>
      <c r="M4" s="994"/>
      <c r="N4" s="994"/>
      <c r="O4" s="994"/>
      <c r="P4" s="994"/>
      <c r="Q4" s="994"/>
      <c r="R4" s="994"/>
      <c r="S4" s="994"/>
      <c r="T4" s="994"/>
      <c r="U4" s="994"/>
      <c r="V4" s="56"/>
      <c r="W4" s="56"/>
      <c r="X4" s="44"/>
      <c r="Y4" s="44"/>
      <c r="Z4" s="44"/>
      <c r="AA4" s="44"/>
      <c r="AB4" s="44"/>
      <c r="AC4" s="44"/>
      <c r="AD4" s="44"/>
      <c r="AE4" s="44"/>
      <c r="AF4" s="44"/>
    </row>
    <row r="5" spans="1:49" s="40" customFormat="1">
      <c r="A5" s="991"/>
      <c r="B5" s="996"/>
      <c r="C5" s="994"/>
      <c r="D5" s="995"/>
      <c r="E5" s="993"/>
      <c r="F5" s="995"/>
      <c r="G5" s="994"/>
      <c r="H5" s="994"/>
      <c r="I5" s="994"/>
      <c r="J5" s="994"/>
      <c r="K5" s="994"/>
      <c r="L5" s="994"/>
      <c r="M5" s="994"/>
      <c r="N5" s="994"/>
      <c r="O5" s="994"/>
      <c r="P5" s="994"/>
      <c r="Q5" s="994"/>
      <c r="R5" s="994"/>
      <c r="S5" s="994"/>
      <c r="T5" s="994"/>
      <c r="U5" s="994"/>
      <c r="V5" s="56"/>
      <c r="W5" s="56"/>
      <c r="X5" s="46"/>
      <c r="Y5" s="46"/>
      <c r="Z5" s="46"/>
      <c r="AA5" s="46"/>
      <c r="AB5" s="46"/>
      <c r="AC5" s="46"/>
      <c r="AD5" s="46"/>
      <c r="AE5" s="46"/>
      <c r="AF5" s="46"/>
    </row>
    <row r="6" spans="1:49" s="27" customFormat="1" ht="15.6">
      <c r="A6" s="997"/>
      <c r="B6" s="919"/>
      <c r="C6" s="998" t="s">
        <v>112</v>
      </c>
      <c r="D6" s="997" t="s">
        <v>113</v>
      </c>
      <c r="E6" s="997"/>
      <c r="F6" s="999" t="s">
        <v>114</v>
      </c>
      <c r="G6" s="999"/>
      <c r="H6" s="999" t="s">
        <v>115</v>
      </c>
      <c r="I6" s="999"/>
      <c r="J6" s="999" t="s">
        <v>753</v>
      </c>
      <c r="K6" s="999"/>
      <c r="L6" s="1000" t="s">
        <v>754</v>
      </c>
      <c r="M6" s="999"/>
      <c r="N6" s="1000" t="s">
        <v>755</v>
      </c>
      <c r="O6" s="999"/>
      <c r="P6" s="999" t="s">
        <v>756</v>
      </c>
      <c r="Q6" s="999"/>
      <c r="R6" s="999" t="s">
        <v>1082</v>
      </c>
      <c r="S6" s="999"/>
      <c r="T6" s="997" t="s">
        <v>1083</v>
      </c>
      <c r="U6" s="999"/>
      <c r="V6" s="57"/>
      <c r="W6" s="57"/>
      <c r="AA6" s="57"/>
      <c r="AB6" s="57"/>
      <c r="AC6" s="45"/>
      <c r="AD6" s="45"/>
      <c r="AE6" s="45"/>
      <c r="AF6" s="45"/>
    </row>
    <row r="7" spans="1:49" ht="13.8">
      <c r="A7" s="991"/>
      <c r="B7" s="1001"/>
      <c r="C7" s="1476">
        <v>45291</v>
      </c>
      <c r="D7" s="995"/>
      <c r="E7" s="991"/>
      <c r="F7" s="995"/>
      <c r="G7" s="1002"/>
      <c r="H7" s="995"/>
      <c r="I7" s="1002"/>
      <c r="J7" s="995"/>
      <c r="K7" s="1002"/>
      <c r="L7" s="995"/>
      <c r="M7" s="998"/>
      <c r="N7" s="1002"/>
      <c r="O7" s="1002"/>
      <c r="P7" s="1002"/>
      <c r="Q7" s="1002"/>
      <c r="R7" s="1003"/>
      <c r="S7" s="1002"/>
      <c r="T7" s="991"/>
      <c r="U7" s="1002"/>
      <c r="V7" s="46"/>
      <c r="W7" s="46"/>
      <c r="AA7" s="46"/>
      <c r="AB7" s="59"/>
      <c r="AC7" s="44"/>
      <c r="AD7" s="44"/>
      <c r="AE7" s="44"/>
      <c r="AF7" s="44"/>
      <c r="AH7" s="60"/>
      <c r="AI7" s="24"/>
      <c r="AJ7" s="24"/>
      <c r="AK7" s="24"/>
      <c r="AL7" s="24"/>
      <c r="AM7" s="24"/>
      <c r="AN7" s="24"/>
      <c r="AO7" s="24"/>
      <c r="AP7" s="24"/>
      <c r="AQ7" s="1781"/>
      <c r="AR7" s="1781"/>
      <c r="AS7" s="40"/>
      <c r="AT7" s="40"/>
      <c r="AU7" s="40"/>
      <c r="AV7" s="40"/>
      <c r="AW7" s="40"/>
    </row>
    <row r="8" spans="1:49" ht="13.8">
      <c r="A8" s="991"/>
      <c r="B8" s="995"/>
      <c r="C8" s="991"/>
      <c r="D8" s="995"/>
      <c r="E8" s="991"/>
      <c r="F8" s="995"/>
      <c r="G8" s="1002"/>
      <c r="H8" s="995"/>
      <c r="I8" s="1002"/>
      <c r="J8" s="998"/>
      <c r="K8" s="1002"/>
      <c r="L8" s="864" t="s">
        <v>1084</v>
      </c>
      <c r="M8" s="998"/>
      <c r="N8" s="714"/>
      <c r="O8" s="1002"/>
      <c r="P8" s="714"/>
      <c r="Q8" s="1002"/>
      <c r="R8" s="998" t="s">
        <v>1085</v>
      </c>
      <c r="S8" s="1002"/>
      <c r="T8" s="998" t="s">
        <v>472</v>
      </c>
      <c r="U8" s="1002"/>
      <c r="V8" s="58"/>
      <c r="W8" s="46"/>
      <c r="AA8" s="46"/>
      <c r="AB8" s="59"/>
      <c r="AC8" s="44"/>
      <c r="AD8" s="44"/>
      <c r="AE8" s="44"/>
      <c r="AF8" s="44"/>
      <c r="AH8" s="60"/>
      <c r="AI8" s="24"/>
      <c r="AJ8" s="24"/>
      <c r="AK8" s="24"/>
      <c r="AL8" s="24"/>
      <c r="AM8" s="24"/>
      <c r="AN8" s="24"/>
      <c r="AO8" s="24"/>
      <c r="AP8" s="24"/>
      <c r="AQ8" s="24"/>
      <c r="AR8" s="24"/>
      <c r="AS8" s="40"/>
      <c r="AT8" s="40"/>
      <c r="AU8" s="40"/>
      <c r="AV8" s="40"/>
      <c r="AW8" s="40"/>
    </row>
    <row r="9" spans="1:49" ht="16.8">
      <c r="A9" s="991"/>
      <c r="B9" s="994"/>
      <c r="C9" s="1001" t="s">
        <v>1086</v>
      </c>
      <c r="D9" s="1004"/>
      <c r="E9" s="1004"/>
      <c r="F9" s="998"/>
      <c r="G9" s="998"/>
      <c r="H9" s="998"/>
      <c r="I9" s="998"/>
      <c r="J9" s="998" t="s">
        <v>1087</v>
      </c>
      <c r="K9" s="998"/>
      <c r="L9" s="998" t="s">
        <v>1088</v>
      </c>
      <c r="M9" s="998"/>
      <c r="N9" s="1005" t="s">
        <v>1089</v>
      </c>
      <c r="O9" s="998"/>
      <c r="P9" s="998" t="s">
        <v>472</v>
      </c>
      <c r="Q9" s="998"/>
      <c r="R9" s="998" t="s">
        <v>2274</v>
      </c>
      <c r="S9" s="998"/>
      <c r="T9" s="998" t="s">
        <v>1090</v>
      </c>
      <c r="U9" s="998"/>
      <c r="V9" s="58"/>
      <c r="W9" s="61"/>
      <c r="AA9" s="61"/>
      <c r="AB9" s="62"/>
      <c r="AC9" s="63"/>
      <c r="AD9" s="63"/>
      <c r="AE9" s="63"/>
      <c r="AF9" s="63"/>
      <c r="AH9" s="64"/>
      <c r="AI9" s="65"/>
      <c r="AJ9" s="65"/>
      <c r="AK9" s="65"/>
      <c r="AL9" s="65"/>
      <c r="AM9" s="65"/>
      <c r="AN9" s="65"/>
      <c r="AO9" s="65"/>
      <c r="AP9" s="65"/>
      <c r="AQ9" s="65"/>
      <c r="AR9" s="65"/>
      <c r="AS9" s="40"/>
      <c r="AT9" s="40"/>
      <c r="AU9" s="40"/>
      <c r="AV9" s="40"/>
      <c r="AW9" s="40"/>
    </row>
    <row r="10" spans="1:49" ht="13.8">
      <c r="A10" s="991"/>
      <c r="B10" s="1006"/>
      <c r="C10" s="1001" t="s">
        <v>1091</v>
      </c>
      <c r="D10" s="995"/>
      <c r="E10" s="998"/>
      <c r="F10" s="998"/>
      <c r="G10" s="998"/>
      <c r="H10" s="998" t="s">
        <v>1092</v>
      </c>
      <c r="I10" s="998"/>
      <c r="J10" s="998" t="s">
        <v>1093</v>
      </c>
      <c r="K10" s="998"/>
      <c r="L10" s="998" t="s">
        <v>1093</v>
      </c>
      <c r="M10" s="998"/>
      <c r="N10" s="1005" t="s">
        <v>1093</v>
      </c>
      <c r="O10" s="998"/>
      <c r="P10" s="998" t="s">
        <v>1093</v>
      </c>
      <c r="Q10" s="998"/>
      <c r="R10" s="1478" t="str">
        <f>"at t = "&amp;TEXT($C$7,"yyyy")</f>
        <v>at t = 2023</v>
      </c>
      <c r="S10" s="998"/>
      <c r="T10" s="1479" t="str">
        <f>"at t = "&amp;TEXT($C$7,"yyyy")</f>
        <v>at t = 2023</v>
      </c>
      <c r="U10" s="998"/>
      <c r="V10" s="58"/>
      <c r="W10" s="61"/>
      <c r="AA10" s="61"/>
      <c r="AB10" s="62"/>
      <c r="AC10" s="63"/>
      <c r="AD10" s="63"/>
      <c r="AE10" s="63"/>
      <c r="AF10" s="63"/>
      <c r="AH10" s="66"/>
      <c r="AI10" s="67"/>
      <c r="AJ10" s="67"/>
      <c r="AK10" s="67"/>
      <c r="AL10" s="67"/>
      <c r="AM10" s="67"/>
      <c r="AN10" s="67"/>
      <c r="AO10" s="67"/>
      <c r="AP10" s="67"/>
      <c r="AQ10" s="67"/>
      <c r="AR10" s="67"/>
      <c r="AS10" s="40"/>
      <c r="AT10" s="40"/>
      <c r="AU10" s="40"/>
      <c r="AV10" s="40"/>
      <c r="AW10" s="40"/>
    </row>
    <row r="11" spans="1:49" ht="17.399999999999999" thickBot="1">
      <c r="A11" s="991"/>
      <c r="B11" s="1004"/>
      <c r="C11" s="1007" t="s">
        <v>1094</v>
      </c>
      <c r="D11" s="1007" t="s">
        <v>1095</v>
      </c>
      <c r="E11" s="1007"/>
      <c r="F11" s="1007" t="s">
        <v>1096</v>
      </c>
      <c r="G11" s="1007"/>
      <c r="H11" s="1007" t="s">
        <v>1097</v>
      </c>
      <c r="I11" s="1007"/>
      <c r="J11" s="1477" t="str">
        <f>"in "&amp;TEXT(C7,"yyyy")</f>
        <v>in 2023</v>
      </c>
      <c r="K11" s="1007"/>
      <c r="L11" s="1008" t="s">
        <v>1098</v>
      </c>
      <c r="M11" s="1009"/>
      <c r="N11" s="1009" t="s">
        <v>2275</v>
      </c>
      <c r="O11" s="1007"/>
      <c r="P11" s="1007" t="s">
        <v>1099</v>
      </c>
      <c r="Q11" s="1007"/>
      <c r="R11" s="1010"/>
      <c r="S11" s="1007"/>
      <c r="T11" s="1009" t="s">
        <v>1100</v>
      </c>
      <c r="U11" s="1001"/>
      <c r="V11" s="58"/>
      <c r="W11" s="61"/>
      <c r="AA11" s="61"/>
      <c r="AB11" s="61"/>
      <c r="AC11" s="63"/>
      <c r="AD11" s="63"/>
      <c r="AE11" s="63"/>
      <c r="AF11" s="63"/>
      <c r="AH11" s="66"/>
      <c r="AI11" s="67"/>
      <c r="AJ11" s="67"/>
      <c r="AK11" s="67"/>
      <c r="AL11" s="67"/>
      <c r="AM11" s="67"/>
      <c r="AN11" s="67"/>
      <c r="AO11" s="67"/>
      <c r="AP11" s="67"/>
      <c r="AQ11" s="67"/>
      <c r="AR11" s="67"/>
      <c r="AS11" s="40"/>
      <c r="AT11" s="40"/>
      <c r="AU11" s="40"/>
      <c r="AV11" s="40"/>
      <c r="AW11" s="40"/>
    </row>
    <row r="12" spans="1:49" ht="15.6">
      <c r="A12" s="991"/>
      <c r="B12" s="1011" t="s">
        <v>1101</v>
      </c>
      <c r="C12" s="714"/>
      <c r="D12" s="995"/>
      <c r="E12" s="998"/>
      <c r="F12" s="998"/>
      <c r="G12" s="998"/>
      <c r="H12" s="998"/>
      <c r="I12" s="998"/>
      <c r="J12" s="1005"/>
      <c r="K12" s="998"/>
      <c r="L12" s="998"/>
      <c r="M12" s="998"/>
      <c r="N12" s="729"/>
      <c r="O12" s="998"/>
      <c r="P12" s="1005"/>
      <c r="Q12" s="998"/>
      <c r="R12" s="1005"/>
      <c r="S12" s="998"/>
      <c r="T12" s="1013"/>
      <c r="U12" s="998"/>
      <c r="V12" s="61"/>
      <c r="W12" s="61"/>
      <c r="AA12" s="61"/>
      <c r="AB12" s="61"/>
      <c r="AC12" s="63"/>
      <c r="AD12" s="63"/>
      <c r="AE12" s="63"/>
      <c r="AF12" s="63"/>
      <c r="AH12" s="66"/>
      <c r="AI12" s="67"/>
      <c r="AJ12" s="67"/>
      <c r="AK12" s="67"/>
      <c r="AL12" s="67"/>
      <c r="AM12" s="67"/>
      <c r="AN12" s="67"/>
      <c r="AO12" s="67"/>
      <c r="AP12" s="67"/>
      <c r="AQ12" s="67"/>
      <c r="AR12" s="67"/>
      <c r="AS12" s="40"/>
      <c r="AT12" s="40"/>
      <c r="AU12" s="40"/>
      <c r="AV12" s="40"/>
      <c r="AW12" s="40"/>
    </row>
    <row r="13" spans="1:49" ht="13.8">
      <c r="A13" s="1480"/>
      <c r="B13" s="1630" t="s">
        <v>3100</v>
      </c>
      <c r="C13" s="1481"/>
      <c r="D13" s="1631"/>
      <c r="E13" s="1482"/>
      <c r="F13" s="1482"/>
      <c r="G13" s="1482"/>
      <c r="H13" s="1482"/>
      <c r="I13" s="1482"/>
      <c r="J13" s="1482"/>
      <c r="K13" s="1482"/>
      <c r="L13" s="1479"/>
      <c r="M13" s="1482"/>
      <c r="N13" s="1405"/>
      <c r="O13" s="1482"/>
      <c r="P13" s="1479"/>
      <c r="Q13" s="1482"/>
      <c r="R13" s="1479"/>
      <c r="S13" s="1479"/>
      <c r="T13" s="1481"/>
      <c r="U13" s="998"/>
      <c r="V13" s="61"/>
      <c r="W13" s="61"/>
      <c r="AA13" s="61"/>
      <c r="AB13" s="61"/>
      <c r="AC13" s="63"/>
      <c r="AD13" s="63"/>
      <c r="AE13" s="63"/>
      <c r="AF13" s="63"/>
      <c r="AH13" s="66"/>
      <c r="AI13" s="67"/>
      <c r="AJ13" s="67"/>
      <c r="AK13" s="67"/>
      <c r="AL13" s="67"/>
      <c r="AM13" s="67"/>
      <c r="AN13" s="67"/>
      <c r="AO13" s="67"/>
      <c r="AP13" s="67"/>
      <c r="AQ13" s="67"/>
      <c r="AR13" s="67"/>
      <c r="AS13" s="40"/>
      <c r="AT13" s="40"/>
      <c r="AU13" s="40"/>
      <c r="AV13" s="40"/>
      <c r="AW13" s="40"/>
    </row>
    <row r="14" spans="1:49" ht="13.8">
      <c r="A14" s="1483" t="s">
        <v>1102</v>
      </c>
      <c r="B14" s="1484" t="s">
        <v>3358</v>
      </c>
      <c r="C14" s="1485" t="s">
        <v>1103</v>
      </c>
      <c r="D14" s="1632">
        <v>40969</v>
      </c>
      <c r="E14" s="1633"/>
      <c r="F14" s="1634">
        <v>51926</v>
      </c>
      <c r="G14" s="1633"/>
      <c r="H14" s="1635">
        <v>550000000</v>
      </c>
      <c r="I14" s="1636"/>
      <c r="J14" s="1635">
        <f t="shared" ref="J14:J24" si="0">H14</f>
        <v>550000000</v>
      </c>
      <c r="K14" s="1636"/>
      <c r="L14" s="1637">
        <v>360</v>
      </c>
      <c r="M14" s="1486"/>
      <c r="N14" s="1638">
        <f t="shared" ref="N14:N24" si="1">+(J14*L14/360)</f>
        <v>550000000</v>
      </c>
      <c r="O14" s="1486"/>
      <c r="P14" s="1639">
        <f t="shared" ref="P14:P24" si="2">+N14/$N$41</f>
        <v>0.1188690581680333</v>
      </c>
      <c r="Q14" s="1486"/>
      <c r="R14" s="1487">
        <f>'Wrksht U, LTD Cost 2'!AB14</f>
        <v>4.5496013665318316E-2</v>
      </c>
      <c r="S14" s="1488"/>
      <c r="T14" s="1489">
        <f>+P14*R14</f>
        <v>5.4080682947963603E-3</v>
      </c>
      <c r="U14" s="1012"/>
      <c r="V14" s="69"/>
      <c r="W14" s="61"/>
      <c r="AA14" s="61"/>
      <c r="AB14" s="61"/>
      <c r="AC14" s="63"/>
      <c r="AD14" s="63"/>
      <c r="AE14" s="63"/>
      <c r="AF14" s="63"/>
      <c r="AH14" s="66"/>
      <c r="AI14" s="67"/>
      <c r="AJ14" s="67"/>
      <c r="AK14" s="67"/>
      <c r="AL14" s="67"/>
      <c r="AM14" s="67"/>
      <c r="AN14" s="67"/>
      <c r="AO14" s="67"/>
      <c r="AP14" s="67"/>
      <c r="AQ14" s="67"/>
      <c r="AR14" s="67"/>
      <c r="AS14" s="40"/>
      <c r="AT14" s="40"/>
      <c r="AU14" s="40"/>
      <c r="AV14" s="40"/>
      <c r="AW14" s="40"/>
    </row>
    <row r="15" spans="1:49" ht="13.8">
      <c r="A15" s="1483" t="s">
        <v>1104</v>
      </c>
      <c r="B15" s="1484" t="s">
        <v>3359</v>
      </c>
      <c r="C15" s="1485" t="s">
        <v>1103</v>
      </c>
      <c r="D15" s="1632">
        <v>41361</v>
      </c>
      <c r="E15" s="1633"/>
      <c r="F15" s="1634">
        <v>52322</v>
      </c>
      <c r="G15" s="1633"/>
      <c r="H15" s="1635">
        <v>430000000</v>
      </c>
      <c r="I15" s="1636"/>
      <c r="J15" s="1635">
        <f t="shared" si="0"/>
        <v>430000000</v>
      </c>
      <c r="K15" s="1636"/>
      <c r="L15" s="1637">
        <v>360</v>
      </c>
      <c r="M15" s="1486"/>
      <c r="N15" s="1638">
        <f t="shared" si="1"/>
        <v>430000000</v>
      </c>
      <c r="O15" s="1486"/>
      <c r="P15" s="1639">
        <f t="shared" si="2"/>
        <v>9.2933990931371488E-2</v>
      </c>
      <c r="Q15" s="1486"/>
      <c r="R15" s="1487">
        <f>'Wrksht U, LTD Cost 2'!AB15</f>
        <v>4.2773730447840642E-2</v>
      </c>
      <c r="S15" s="1488"/>
      <c r="T15" s="1489">
        <f t="shared" ref="T15:T20" si="3">+P15*R15</f>
        <v>3.975133477540551E-3</v>
      </c>
      <c r="U15" s="1012"/>
      <c r="V15" s="69"/>
      <c r="W15" s="61"/>
      <c r="AA15" s="61"/>
      <c r="AB15" s="61"/>
      <c r="AC15" s="63"/>
      <c r="AD15" s="63"/>
      <c r="AE15" s="63"/>
      <c r="AF15" s="63"/>
      <c r="AH15" s="66"/>
      <c r="AI15" s="67"/>
      <c r="AJ15" s="67"/>
      <c r="AK15" s="67"/>
      <c r="AL15" s="67"/>
      <c r="AM15" s="67"/>
      <c r="AN15" s="67"/>
      <c r="AO15" s="67"/>
      <c r="AP15" s="67"/>
      <c r="AQ15" s="67"/>
      <c r="AR15" s="67"/>
      <c r="AS15" s="40"/>
      <c r="AT15" s="40"/>
      <c r="AU15" s="40"/>
      <c r="AV15" s="40"/>
      <c r="AW15" s="40"/>
    </row>
    <row r="16" spans="1:49" ht="13.8">
      <c r="A16" s="1483" t="s">
        <v>1105</v>
      </c>
      <c r="B16" s="1484" t="s">
        <v>3360</v>
      </c>
      <c r="C16" s="1485" t="s">
        <v>1103</v>
      </c>
      <c r="D16" s="1632">
        <v>41505</v>
      </c>
      <c r="E16" s="1633"/>
      <c r="F16" s="1634">
        <v>52475</v>
      </c>
      <c r="G16" s="1633"/>
      <c r="H16" s="1635">
        <v>250000000</v>
      </c>
      <c r="I16" s="1636"/>
      <c r="J16" s="1635">
        <f t="shared" si="0"/>
        <v>250000000</v>
      </c>
      <c r="K16" s="1636"/>
      <c r="L16" s="1637">
        <v>360</v>
      </c>
      <c r="M16" s="1486"/>
      <c r="N16" s="1638">
        <f t="shared" si="1"/>
        <v>250000000</v>
      </c>
      <c r="O16" s="1486"/>
      <c r="P16" s="1639">
        <f t="shared" si="2"/>
        <v>5.403139007637877E-2</v>
      </c>
      <c r="Q16" s="1486"/>
      <c r="R16" s="1487">
        <f>'Wrksht U, LTD Cost 2'!AB16</f>
        <v>4.7084905923927979E-2</v>
      </c>
      <c r="S16" s="1488"/>
      <c r="T16" s="1489">
        <f t="shared" si="3"/>
        <v>2.5440629186853502E-3</v>
      </c>
      <c r="U16" s="1012"/>
      <c r="V16" s="69"/>
      <c r="W16" s="61"/>
      <c r="AA16" s="61"/>
      <c r="AB16" s="61"/>
      <c r="AC16" s="63"/>
      <c r="AD16" s="63"/>
      <c r="AE16" s="63"/>
      <c r="AF16" s="63"/>
      <c r="AH16" s="66"/>
      <c r="AI16" s="67"/>
      <c r="AJ16" s="67"/>
      <c r="AK16" s="67"/>
      <c r="AL16" s="67"/>
      <c r="AM16" s="67"/>
      <c r="AN16" s="67"/>
      <c r="AO16" s="67"/>
      <c r="AP16" s="67"/>
      <c r="AQ16" s="67"/>
      <c r="AR16" s="67"/>
      <c r="AS16" s="40"/>
      <c r="AT16" s="40"/>
      <c r="AU16" s="40"/>
      <c r="AV16" s="40"/>
      <c r="AW16" s="40"/>
    </row>
    <row r="17" spans="1:49" ht="13.8">
      <c r="A17" s="1483" t="s">
        <v>1106</v>
      </c>
      <c r="B17" s="1484" t="s">
        <v>3361</v>
      </c>
      <c r="C17" s="1485" t="s">
        <v>1103</v>
      </c>
      <c r="D17" s="1632">
        <v>42321</v>
      </c>
      <c r="E17" s="1633"/>
      <c r="F17" s="1634">
        <v>45992</v>
      </c>
      <c r="G17" s="1633"/>
      <c r="H17" s="1635">
        <v>250000000</v>
      </c>
      <c r="I17" s="1636"/>
      <c r="J17" s="1635">
        <f t="shared" si="0"/>
        <v>250000000</v>
      </c>
      <c r="K17" s="1636"/>
      <c r="L17" s="1637">
        <v>360</v>
      </c>
      <c r="M17" s="1486"/>
      <c r="N17" s="1638">
        <f t="shared" si="1"/>
        <v>250000000</v>
      </c>
      <c r="O17" s="1486"/>
      <c r="P17" s="1639">
        <f t="shared" si="2"/>
        <v>5.403139007637877E-2</v>
      </c>
      <c r="Q17" s="1486"/>
      <c r="R17" s="1487">
        <f>'Wrksht U, LTD Cost 2'!AB17</f>
        <v>3.346639660565584E-2</v>
      </c>
      <c r="S17" s="1488"/>
      <c r="T17" s="1489">
        <f t="shared" si="3"/>
        <v>1.8082359294509891E-3</v>
      </c>
      <c r="U17" s="1012"/>
      <c r="V17" s="69"/>
      <c r="W17" s="61"/>
      <c r="AA17" s="61"/>
      <c r="AB17" s="61"/>
      <c r="AC17" s="63"/>
      <c r="AD17" s="63"/>
      <c r="AE17" s="63"/>
      <c r="AF17" s="63"/>
      <c r="AH17" s="66"/>
      <c r="AI17" s="67"/>
      <c r="AJ17" s="67"/>
      <c r="AK17" s="67"/>
      <c r="AL17" s="67"/>
      <c r="AM17" s="67"/>
      <c r="AN17" s="67"/>
      <c r="AO17" s="67"/>
      <c r="AP17" s="67"/>
      <c r="AQ17" s="67"/>
      <c r="AR17" s="67"/>
      <c r="AS17" s="40"/>
      <c r="AT17" s="40"/>
      <c r="AU17" s="40"/>
      <c r="AV17" s="40"/>
      <c r="AW17" s="40"/>
    </row>
    <row r="18" spans="1:49" ht="13.8">
      <c r="A18" s="1483" t="s">
        <v>1107</v>
      </c>
      <c r="B18" s="1484" t="s">
        <v>3362</v>
      </c>
      <c r="C18" s="1485" t="s">
        <v>1103</v>
      </c>
      <c r="D18" s="1632">
        <v>42321</v>
      </c>
      <c r="E18" s="1633"/>
      <c r="F18" s="1634">
        <v>53297</v>
      </c>
      <c r="G18" s="1633"/>
      <c r="H18" s="1635">
        <v>300000000</v>
      </c>
      <c r="I18" s="1636"/>
      <c r="J18" s="1635">
        <f t="shared" si="0"/>
        <v>300000000</v>
      </c>
      <c r="K18" s="1636"/>
      <c r="L18" s="1637">
        <v>360</v>
      </c>
      <c r="M18" s="1486"/>
      <c r="N18" s="1638">
        <f t="shared" si="1"/>
        <v>300000000</v>
      </c>
      <c r="O18" s="1486"/>
      <c r="P18" s="1639">
        <f t="shared" si="2"/>
        <v>6.4837668091654532E-2</v>
      </c>
      <c r="Q18" s="1486"/>
      <c r="R18" s="1487">
        <f>'Wrksht U, LTD Cost 2'!AB18</f>
        <v>5.8268808958201551E-2</v>
      </c>
      <c r="S18" s="1488"/>
      <c r="T18" s="1489">
        <f t="shared" si="3"/>
        <v>3.7780136953278983E-3</v>
      </c>
      <c r="U18" s="1012"/>
      <c r="V18" s="69"/>
      <c r="W18" s="61"/>
      <c r="AA18" s="61"/>
      <c r="AB18" s="61"/>
      <c r="AC18" s="63"/>
      <c r="AD18" s="63"/>
      <c r="AE18" s="63"/>
      <c r="AF18" s="63"/>
      <c r="AH18" s="66"/>
      <c r="AI18" s="67"/>
      <c r="AJ18" s="67"/>
      <c r="AK18" s="67"/>
      <c r="AL18" s="67"/>
      <c r="AM18" s="67"/>
      <c r="AN18" s="67"/>
      <c r="AO18" s="67"/>
      <c r="AP18" s="67"/>
      <c r="AQ18" s="67"/>
      <c r="AR18" s="67"/>
      <c r="AS18" s="40"/>
      <c r="AT18" s="40"/>
      <c r="AU18" s="40"/>
      <c r="AV18" s="40"/>
      <c r="AW18" s="40"/>
    </row>
    <row r="19" spans="1:49" ht="13.8">
      <c r="A19" s="1483" t="s">
        <v>1108</v>
      </c>
      <c r="B19" s="1484" t="s">
        <v>3363</v>
      </c>
      <c r="C19" s="1485" t="s">
        <v>1103</v>
      </c>
      <c r="D19" s="1632">
        <v>42541</v>
      </c>
      <c r="E19" s="1633"/>
      <c r="F19" s="1634">
        <v>46204</v>
      </c>
      <c r="G19" s="1633"/>
      <c r="H19" s="1635">
        <v>350000000</v>
      </c>
      <c r="I19" s="1636"/>
      <c r="J19" s="1635">
        <f t="shared" si="0"/>
        <v>350000000</v>
      </c>
      <c r="K19" s="1636"/>
      <c r="L19" s="1637">
        <v>360</v>
      </c>
      <c r="M19" s="1486"/>
      <c r="N19" s="1638">
        <f t="shared" si="1"/>
        <v>350000000</v>
      </c>
      <c r="O19" s="1486"/>
      <c r="P19" s="1639">
        <f t="shared" si="2"/>
        <v>7.5643946106930288E-2</v>
      </c>
      <c r="Q19" s="1486"/>
      <c r="R19" s="1487">
        <f>'Wrksht U, LTD Cost 2'!AB19</f>
        <v>2.7057170827015781E-2</v>
      </c>
      <c r="S19" s="1488"/>
      <c r="T19" s="1489">
        <f>+P19*R19</f>
        <v>2.0467111718447881E-3</v>
      </c>
      <c r="U19" s="1012"/>
      <c r="V19" s="69"/>
      <c r="W19" s="61"/>
      <c r="AA19" s="61"/>
      <c r="AB19" s="61"/>
      <c r="AC19" s="63"/>
      <c r="AD19" s="63"/>
      <c r="AE19" s="63"/>
      <c r="AF19" s="63"/>
      <c r="AH19" s="66"/>
      <c r="AI19" s="67"/>
      <c r="AJ19" s="67"/>
      <c r="AK19" s="67"/>
      <c r="AL19" s="67"/>
      <c r="AM19" s="67"/>
      <c r="AN19" s="67"/>
      <c r="AO19" s="67"/>
      <c r="AP19" s="67"/>
      <c r="AQ19" s="67"/>
      <c r="AR19" s="67"/>
      <c r="AS19" s="40"/>
      <c r="AT19" s="40"/>
      <c r="AU19" s="40"/>
      <c r="AV19" s="40"/>
      <c r="AW19" s="40"/>
    </row>
    <row r="20" spans="1:49" ht="13.8">
      <c r="A20" s="1483" t="s">
        <v>1109</v>
      </c>
      <c r="B20" s="1484" t="s">
        <v>3364</v>
      </c>
      <c r="C20" s="1485" t="s">
        <v>1103</v>
      </c>
      <c r="D20" s="1632">
        <v>42800</v>
      </c>
      <c r="E20" s="1633"/>
      <c r="F20" s="1634">
        <v>46478</v>
      </c>
      <c r="G20" s="1633"/>
      <c r="H20" s="1635">
        <v>300000000</v>
      </c>
      <c r="I20" s="1636"/>
      <c r="J20" s="1635">
        <f t="shared" si="0"/>
        <v>300000000</v>
      </c>
      <c r="K20" s="1636"/>
      <c r="L20" s="1637">
        <v>360</v>
      </c>
      <c r="M20" s="1486"/>
      <c r="N20" s="1638">
        <f t="shared" si="1"/>
        <v>300000000</v>
      </c>
      <c r="O20" s="1486"/>
      <c r="P20" s="1639">
        <f t="shared" si="2"/>
        <v>6.4837668091654532E-2</v>
      </c>
      <c r="Q20" s="1486"/>
      <c r="R20" s="1487">
        <f>'Wrksht U, LTD Cost 2'!AB20</f>
        <v>3.248090570423412E-2</v>
      </c>
      <c r="S20" s="1488"/>
      <c r="T20" s="1489">
        <f t="shared" si="3"/>
        <v>2.1059861833674603E-3</v>
      </c>
      <c r="U20" s="1012"/>
      <c r="V20" s="69"/>
      <c r="W20" s="61"/>
      <c r="AA20" s="61"/>
      <c r="AB20" s="61"/>
      <c r="AC20" s="63"/>
      <c r="AD20" s="63"/>
      <c r="AE20" s="63"/>
      <c r="AF20" s="63"/>
      <c r="AH20" s="66"/>
      <c r="AI20" s="67"/>
      <c r="AJ20" s="67"/>
      <c r="AK20" s="67"/>
      <c r="AL20" s="67"/>
      <c r="AM20" s="67"/>
      <c r="AN20" s="67"/>
      <c r="AO20" s="67"/>
      <c r="AP20" s="67"/>
      <c r="AQ20" s="67"/>
      <c r="AR20" s="67"/>
      <c r="AS20" s="40"/>
      <c r="AT20" s="40"/>
      <c r="AU20" s="40"/>
      <c r="AV20" s="40"/>
      <c r="AW20" s="40"/>
    </row>
    <row r="21" spans="1:49" ht="13.8">
      <c r="A21" s="1483" t="s">
        <v>1110</v>
      </c>
      <c r="B21" s="1484" t="s">
        <v>3365</v>
      </c>
      <c r="C21" s="1485" t="s">
        <v>1103</v>
      </c>
      <c r="D21" s="1632">
        <v>43696</v>
      </c>
      <c r="E21" s="1633"/>
      <c r="F21" s="1634">
        <v>54667</v>
      </c>
      <c r="G21" s="1633"/>
      <c r="H21" s="1635">
        <v>300000000</v>
      </c>
      <c r="I21" s="1636"/>
      <c r="J21" s="1635">
        <f t="shared" si="0"/>
        <v>300000000</v>
      </c>
      <c r="K21" s="1636"/>
      <c r="L21" s="1637">
        <v>360</v>
      </c>
      <c r="M21" s="1486"/>
      <c r="N21" s="1638">
        <f t="shared" si="1"/>
        <v>300000000</v>
      </c>
      <c r="O21" s="1486"/>
      <c r="P21" s="1639">
        <f t="shared" si="2"/>
        <v>6.4837668091654532E-2</v>
      </c>
      <c r="Q21" s="1486"/>
      <c r="R21" s="1487">
        <f>'Wrksht U, LTD Cost 2'!AB21</f>
        <v>3.3531388736853712E-2</v>
      </c>
      <c r="S21" s="1488"/>
      <c r="T21" s="1489">
        <f>+P21*R21</f>
        <v>2.1740970535723643E-3</v>
      </c>
      <c r="U21" s="1012"/>
      <c r="V21" s="69"/>
      <c r="W21" s="61"/>
      <c r="AA21" s="61"/>
      <c r="AB21" s="61"/>
      <c r="AC21" s="63"/>
      <c r="AD21" s="63"/>
      <c r="AE21" s="63"/>
      <c r="AF21" s="63"/>
      <c r="AH21" s="66"/>
      <c r="AI21" s="67"/>
      <c r="AJ21" s="67"/>
      <c r="AK21" s="67"/>
      <c r="AL21" s="67"/>
      <c r="AM21" s="67"/>
      <c r="AN21" s="67"/>
      <c r="AO21" s="67"/>
      <c r="AP21" s="67"/>
      <c r="AQ21" s="67"/>
      <c r="AR21" s="67"/>
      <c r="AS21" s="40"/>
      <c r="AT21" s="40"/>
      <c r="AU21" s="40"/>
      <c r="AV21" s="40"/>
      <c r="AW21" s="40"/>
    </row>
    <row r="22" spans="1:49" ht="13.8">
      <c r="A22" s="1483" t="s">
        <v>1111</v>
      </c>
      <c r="B22" s="1484" t="s">
        <v>3366</v>
      </c>
      <c r="C22" s="1485" t="s">
        <v>1103</v>
      </c>
      <c r="D22" s="1632">
        <v>43930</v>
      </c>
      <c r="E22" s="1633"/>
      <c r="F22" s="1634">
        <v>54893</v>
      </c>
      <c r="G22" s="1633"/>
      <c r="H22" s="1635">
        <v>500000000</v>
      </c>
      <c r="I22" s="1636"/>
      <c r="J22" s="1635">
        <f t="shared" si="0"/>
        <v>500000000</v>
      </c>
      <c r="K22" s="1636"/>
      <c r="L22" s="1637">
        <v>360</v>
      </c>
      <c r="M22" s="1486"/>
      <c r="N22" s="1638">
        <f t="shared" si="1"/>
        <v>500000000</v>
      </c>
      <c r="O22" s="1486"/>
      <c r="P22" s="1639">
        <f t="shared" si="2"/>
        <v>0.10806278015275754</v>
      </c>
      <c r="Q22" s="1486"/>
      <c r="R22" s="1487">
        <f>'Wrksht U, LTD Cost 2'!AB22</f>
        <v>3.7019373651547546E-2</v>
      </c>
      <c r="S22" s="1488"/>
      <c r="T22" s="1489">
        <f>+P22*R22</f>
        <v>4.0004164362999672E-3</v>
      </c>
      <c r="U22" s="1012"/>
      <c r="V22" s="69"/>
      <c r="W22" s="61"/>
      <c r="AA22" s="61"/>
      <c r="AB22" s="61"/>
      <c r="AC22" s="63"/>
      <c r="AD22" s="63"/>
      <c r="AE22" s="63"/>
      <c r="AF22" s="63"/>
      <c r="AH22" s="66"/>
      <c r="AI22" s="67"/>
      <c r="AJ22" s="67"/>
      <c r="AK22" s="67"/>
      <c r="AL22" s="67"/>
      <c r="AM22" s="67"/>
      <c r="AN22" s="67"/>
      <c r="AO22" s="67"/>
      <c r="AP22" s="67"/>
      <c r="AQ22" s="67"/>
      <c r="AR22" s="67"/>
      <c r="AS22" s="40"/>
      <c r="AT22" s="40"/>
      <c r="AU22" s="40"/>
      <c r="AV22" s="40"/>
      <c r="AW22" s="40"/>
    </row>
    <row r="23" spans="1:49" ht="13.8">
      <c r="A23" s="1483" t="s">
        <v>1112</v>
      </c>
      <c r="B23" s="1484" t="s">
        <v>3550</v>
      </c>
      <c r="C23" s="1485" t="s">
        <v>1103</v>
      </c>
      <c r="D23" s="1632">
        <v>44999</v>
      </c>
      <c r="E23" s="1633"/>
      <c r="F23" s="1634">
        <v>55958</v>
      </c>
      <c r="G23" s="1633"/>
      <c r="H23" s="1635">
        <v>400000000</v>
      </c>
      <c r="I23" s="1636"/>
      <c r="J23" s="1635">
        <f t="shared" si="0"/>
        <v>400000000</v>
      </c>
      <c r="K23" s="1636"/>
      <c r="L23" s="1637">
        <v>360</v>
      </c>
      <c r="M23" s="1486"/>
      <c r="N23" s="1638">
        <f t="shared" si="1"/>
        <v>400000000</v>
      </c>
      <c r="O23" s="1486"/>
      <c r="P23" s="1639">
        <f t="shared" si="2"/>
        <v>8.6450224122206043E-2</v>
      </c>
      <c r="Q23" s="1486"/>
      <c r="R23" s="1487">
        <f>'Wrksht U, LTD Cost 2'!AB23</f>
        <v>5.8180796120342979E-2</v>
      </c>
      <c r="S23" s="1488"/>
      <c r="T23" s="1489">
        <f t="shared" ref="T23:T24" si="4">+P23*R23</f>
        <v>5.029742864212026E-3</v>
      </c>
      <c r="U23" s="1012"/>
      <c r="V23" s="69"/>
      <c r="W23" s="61"/>
      <c r="AA23" s="61"/>
      <c r="AB23" s="61"/>
      <c r="AC23" s="63"/>
      <c r="AD23" s="63"/>
      <c r="AE23" s="63"/>
      <c r="AF23" s="63"/>
      <c r="AH23" s="66"/>
      <c r="AI23" s="67"/>
      <c r="AJ23" s="67"/>
      <c r="AK23" s="67"/>
      <c r="AL23" s="67"/>
      <c r="AM23" s="67"/>
      <c r="AN23" s="67"/>
      <c r="AO23" s="67"/>
      <c r="AP23" s="67"/>
      <c r="AQ23" s="67"/>
      <c r="AR23" s="67"/>
      <c r="AS23" s="40"/>
      <c r="AT23" s="40"/>
      <c r="AU23" s="40"/>
      <c r="AV23" s="40"/>
      <c r="AW23" s="40"/>
    </row>
    <row r="24" spans="1:49" ht="13.8">
      <c r="A24" s="1483" t="s">
        <v>1113</v>
      </c>
      <c r="B24" s="1484" t="s">
        <v>3551</v>
      </c>
      <c r="C24" s="1485" t="s">
        <v>1103</v>
      </c>
      <c r="D24" s="1632">
        <v>45245</v>
      </c>
      <c r="E24" s="1633"/>
      <c r="F24" s="1634">
        <v>48898</v>
      </c>
      <c r="G24" s="1633"/>
      <c r="H24" s="1635">
        <v>300000000</v>
      </c>
      <c r="I24" s="1636"/>
      <c r="J24" s="1635">
        <f t="shared" si="0"/>
        <v>300000000</v>
      </c>
      <c r="K24" s="1636"/>
      <c r="L24" s="1637">
        <v>360</v>
      </c>
      <c r="M24" s="1486"/>
      <c r="N24" s="1638">
        <f t="shared" si="1"/>
        <v>300000000</v>
      </c>
      <c r="O24" s="1486"/>
      <c r="P24" s="1639">
        <f t="shared" si="2"/>
        <v>6.4837668091654532E-2</v>
      </c>
      <c r="Q24" s="1486"/>
      <c r="R24" s="1487">
        <f>'Wrksht U, LTD Cost 2'!AB24</f>
        <v>6.0245927460133478E-2</v>
      </c>
      <c r="S24" s="1488"/>
      <c r="T24" s="1489">
        <f t="shared" si="4"/>
        <v>3.9062054485340301E-3</v>
      </c>
      <c r="U24" s="1012"/>
      <c r="V24" s="69"/>
      <c r="W24" s="61"/>
      <c r="AA24" s="61"/>
      <c r="AB24" s="61"/>
      <c r="AC24" s="63"/>
      <c r="AD24" s="63"/>
      <c r="AE24" s="63"/>
      <c r="AF24" s="63"/>
      <c r="AH24" s="66"/>
      <c r="AI24" s="67"/>
      <c r="AJ24" s="67"/>
      <c r="AK24" s="67"/>
      <c r="AL24" s="67"/>
      <c r="AM24" s="67"/>
      <c r="AN24" s="67"/>
      <c r="AO24" s="67"/>
      <c r="AP24" s="67"/>
      <c r="AQ24" s="67"/>
      <c r="AR24" s="67"/>
      <c r="AS24" s="40"/>
      <c r="AT24" s="40"/>
      <c r="AU24" s="40"/>
      <c r="AV24" s="40"/>
      <c r="AW24" s="40"/>
    </row>
    <row r="25" spans="1:49" ht="13.8">
      <c r="A25" s="1483"/>
      <c r="B25" s="1484"/>
      <c r="C25" s="1485"/>
      <c r="D25" s="1476"/>
      <c r="E25" s="1640"/>
      <c r="F25" s="1641"/>
      <c r="G25" s="1640"/>
      <c r="H25" s="1642"/>
      <c r="I25" s="1643"/>
      <c r="J25" s="1644"/>
      <c r="K25" s="1643"/>
      <c r="L25" s="1645"/>
      <c r="M25" s="1490"/>
      <c r="N25" s="1646"/>
      <c r="O25" s="1490"/>
      <c r="P25" s="1647"/>
      <c r="Q25" s="1490"/>
      <c r="R25" s="1487"/>
      <c r="S25" s="1491"/>
      <c r="T25" s="1492"/>
      <c r="U25" s="1012"/>
      <c r="V25" s="69"/>
      <c r="W25" s="61"/>
      <c r="AA25" s="61"/>
      <c r="AB25" s="61"/>
      <c r="AC25" s="63"/>
      <c r="AD25" s="63"/>
      <c r="AE25" s="63"/>
      <c r="AF25" s="63"/>
      <c r="AH25" s="66"/>
      <c r="AI25" s="67"/>
      <c r="AJ25" s="67"/>
      <c r="AK25" s="67"/>
      <c r="AL25" s="67"/>
      <c r="AM25" s="67"/>
      <c r="AN25" s="67"/>
      <c r="AO25" s="67"/>
      <c r="AP25" s="67"/>
      <c r="AQ25" s="67"/>
      <c r="AR25" s="67"/>
      <c r="AS25" s="40"/>
      <c r="AT25" s="40"/>
      <c r="AU25" s="40"/>
      <c r="AV25" s="40"/>
      <c r="AW25" s="40"/>
    </row>
    <row r="26" spans="1:49" ht="13.8">
      <c r="A26" s="1483"/>
      <c r="B26" s="1630" t="s">
        <v>3101</v>
      </c>
      <c r="C26" s="1485"/>
      <c r="D26" s="1476"/>
      <c r="E26" s="1640"/>
      <c r="F26" s="1641"/>
      <c r="G26" s="1640"/>
      <c r="H26" s="1642"/>
      <c r="I26" s="1643"/>
      <c r="J26" s="1644"/>
      <c r="K26" s="1643"/>
      <c r="L26" s="1645"/>
      <c r="M26" s="1490"/>
      <c r="N26" s="1646"/>
      <c r="O26" s="1490"/>
      <c r="P26" s="1647"/>
      <c r="Q26" s="1490"/>
      <c r="R26" s="1487"/>
      <c r="S26" s="1491"/>
      <c r="T26" s="1492"/>
      <c r="U26" s="1012"/>
      <c r="V26" s="69"/>
      <c r="W26" s="61"/>
      <c r="AA26" s="61"/>
      <c r="AB26" s="61"/>
      <c r="AC26" s="63"/>
      <c r="AD26" s="63"/>
      <c r="AE26" s="63"/>
      <c r="AF26" s="63"/>
      <c r="AH26" s="66"/>
      <c r="AI26" s="67"/>
      <c r="AJ26" s="67"/>
      <c r="AK26" s="67"/>
      <c r="AL26" s="67"/>
      <c r="AM26" s="67"/>
      <c r="AN26" s="67"/>
      <c r="AO26" s="67"/>
      <c r="AP26" s="67"/>
      <c r="AQ26" s="67"/>
      <c r="AR26" s="67"/>
      <c r="AS26" s="40"/>
      <c r="AT26" s="40"/>
      <c r="AU26" s="40"/>
      <c r="AV26" s="40"/>
      <c r="AW26" s="40"/>
    </row>
    <row r="27" spans="1:49" ht="13.8">
      <c r="A27" s="1483" t="s">
        <v>1114</v>
      </c>
      <c r="B27" s="1484" t="s">
        <v>3367</v>
      </c>
      <c r="C27" s="1485" t="s">
        <v>1103</v>
      </c>
      <c r="D27" s="1632">
        <v>34452</v>
      </c>
      <c r="E27" s="1633"/>
      <c r="F27" s="1634">
        <v>48319</v>
      </c>
      <c r="G27" s="1633"/>
      <c r="H27" s="1493">
        <v>45000000</v>
      </c>
      <c r="I27" s="1636"/>
      <c r="J27" s="1648">
        <f>H27</f>
        <v>45000000</v>
      </c>
      <c r="K27" s="1636"/>
      <c r="L27" s="1637">
        <v>365</v>
      </c>
      <c r="M27" s="1486"/>
      <c r="N27" s="1649">
        <f>+(J27*L27/365)</f>
        <v>45000000</v>
      </c>
      <c r="O27" s="1486"/>
      <c r="P27" s="1639">
        <f>+N27/$N$41</f>
        <v>9.7256502137481795E-3</v>
      </c>
      <c r="Q27" s="1494"/>
      <c r="R27" s="1487">
        <f>'Wrksht U, LTD Cost 2'!AB27</f>
        <v>3.5628745363774673E-2</v>
      </c>
      <c r="S27" s="1495"/>
      <c r="T27" s="1489">
        <f>+P27*R27</f>
        <v>3.4651271496277463E-4</v>
      </c>
      <c r="U27" s="1012"/>
      <c r="V27" s="69"/>
      <c r="W27" s="61"/>
      <c r="AA27" s="61"/>
      <c r="AB27" s="61"/>
      <c r="AC27" s="63"/>
      <c r="AD27" s="63"/>
      <c r="AE27" s="63"/>
      <c r="AF27" s="63"/>
      <c r="AH27" s="66"/>
      <c r="AI27" s="67"/>
      <c r="AJ27" s="67"/>
      <c r="AK27" s="67"/>
      <c r="AL27" s="67"/>
      <c r="AM27" s="67"/>
      <c r="AN27" s="67"/>
      <c r="AO27" s="67"/>
      <c r="AP27" s="67"/>
      <c r="AQ27" s="67"/>
      <c r="AR27" s="67"/>
      <c r="AS27" s="40"/>
      <c r="AT27" s="40"/>
      <c r="AU27" s="40"/>
      <c r="AV27" s="40"/>
      <c r="AW27" s="40"/>
    </row>
    <row r="28" spans="1:49" ht="13.8">
      <c r="A28" s="1483" t="s">
        <v>1115</v>
      </c>
      <c r="B28" s="1484" t="s">
        <v>3368</v>
      </c>
      <c r="C28" s="1485" t="s">
        <v>1103</v>
      </c>
      <c r="D28" s="1632">
        <v>34452</v>
      </c>
      <c r="E28" s="1633"/>
      <c r="F28" s="1634">
        <v>48319</v>
      </c>
      <c r="G28" s="1633"/>
      <c r="H28" s="1635">
        <v>30500000</v>
      </c>
      <c r="I28" s="1636"/>
      <c r="J28" s="1650">
        <f>H28</f>
        <v>30500000</v>
      </c>
      <c r="K28" s="1636"/>
      <c r="L28" s="1637">
        <v>365</v>
      </c>
      <c r="M28" s="1486"/>
      <c r="N28" s="1649">
        <f>+(J28*L28/365)</f>
        <v>30500000</v>
      </c>
      <c r="O28" s="1486"/>
      <c r="P28" s="1639">
        <f>+N28/$N$41</f>
        <v>6.5918295893182101E-3</v>
      </c>
      <c r="Q28" s="1494"/>
      <c r="R28" s="1487">
        <f>'Wrksht U, LTD Cost 2'!AB28</f>
        <v>3.5628745573770493E-2</v>
      </c>
      <c r="S28" s="1495"/>
      <c r="T28" s="1489">
        <f>+P28*R28</f>
        <v>2.3485861930347055E-4</v>
      </c>
      <c r="U28" s="1012"/>
      <c r="V28" s="69"/>
      <c r="W28" s="61"/>
      <c r="AA28" s="61"/>
      <c r="AB28" s="61"/>
      <c r="AC28" s="63"/>
      <c r="AD28" s="63"/>
      <c r="AE28" s="63"/>
      <c r="AF28" s="63"/>
      <c r="AH28" s="66"/>
      <c r="AI28" s="67"/>
      <c r="AJ28" s="67"/>
      <c r="AK28" s="67"/>
      <c r="AL28" s="67"/>
      <c r="AM28" s="67"/>
      <c r="AN28" s="67"/>
      <c r="AO28" s="67"/>
      <c r="AP28" s="67"/>
      <c r="AQ28" s="67"/>
      <c r="AR28" s="67"/>
      <c r="AS28" s="40"/>
      <c r="AT28" s="40"/>
      <c r="AU28" s="40"/>
      <c r="AV28" s="40"/>
      <c r="AW28" s="40"/>
    </row>
    <row r="29" spans="1:49" ht="13.8">
      <c r="A29" s="1483"/>
      <c r="B29" s="1484"/>
      <c r="C29" s="1485"/>
      <c r="D29" s="1632"/>
      <c r="E29" s="1633"/>
      <c r="F29" s="1634"/>
      <c r="G29" s="1633"/>
      <c r="H29" s="1635"/>
      <c r="I29" s="1636"/>
      <c r="J29" s="1648"/>
      <c r="K29" s="1636"/>
      <c r="L29" s="1637"/>
      <c r="M29" s="1486"/>
      <c r="N29" s="1649"/>
      <c r="O29" s="1486"/>
      <c r="P29" s="1639"/>
      <c r="Q29" s="1486"/>
      <c r="R29" s="1487"/>
      <c r="S29" s="1488"/>
      <c r="T29" s="1489"/>
      <c r="U29" s="1012"/>
      <c r="V29" s="69"/>
      <c r="W29" s="61"/>
      <c r="AA29" s="61"/>
      <c r="AB29" s="61"/>
      <c r="AC29" s="63"/>
      <c r="AD29" s="63"/>
      <c r="AE29" s="63"/>
      <c r="AF29" s="63"/>
      <c r="AH29" s="66"/>
      <c r="AI29" s="67"/>
      <c r="AJ29" s="67"/>
      <c r="AK29" s="67"/>
      <c r="AL29" s="67"/>
      <c r="AM29" s="67"/>
      <c r="AN29" s="67"/>
      <c r="AO29" s="67"/>
      <c r="AP29" s="67"/>
      <c r="AQ29" s="67"/>
      <c r="AR29" s="67"/>
      <c r="AS29" s="40"/>
      <c r="AT29" s="40"/>
      <c r="AU29" s="40"/>
      <c r="AV29" s="40"/>
      <c r="AW29" s="40"/>
    </row>
    <row r="30" spans="1:49" ht="13.8">
      <c r="A30" s="1480"/>
      <c r="B30" s="1651" t="s">
        <v>3102</v>
      </c>
      <c r="C30" s="1485"/>
      <c r="D30" s="1652"/>
      <c r="E30" s="1496"/>
      <c r="F30" s="1652"/>
      <c r="G30" s="1496"/>
      <c r="H30" s="1497"/>
      <c r="I30" s="1653"/>
      <c r="J30" s="1497"/>
      <c r="K30" s="1653"/>
      <c r="L30" s="1485"/>
      <c r="M30" s="1497"/>
      <c r="N30" s="1497"/>
      <c r="O30" s="1497"/>
      <c r="P30" s="1654"/>
      <c r="Q30" s="1497"/>
      <c r="R30" s="1487"/>
      <c r="S30" s="1480"/>
      <c r="T30" s="1489"/>
      <c r="U30" s="1013"/>
      <c r="V30" s="61"/>
      <c r="W30" s="61"/>
      <c r="AA30" s="61"/>
      <c r="AB30" s="61"/>
      <c r="AC30" s="63"/>
      <c r="AD30" s="63"/>
      <c r="AE30" s="63"/>
      <c r="AF30" s="63"/>
      <c r="AH30" s="66"/>
      <c r="AI30" s="67"/>
      <c r="AJ30" s="67"/>
      <c r="AK30" s="67"/>
      <c r="AL30" s="67"/>
      <c r="AM30" s="67"/>
      <c r="AN30" s="67"/>
      <c r="AO30" s="67"/>
      <c r="AP30" s="67"/>
      <c r="AQ30" s="67"/>
      <c r="AR30" s="67"/>
      <c r="AS30" s="40"/>
      <c r="AT30" s="40"/>
      <c r="AU30" s="40"/>
      <c r="AV30" s="40"/>
      <c r="AW30" s="40"/>
    </row>
    <row r="31" spans="1:49" ht="13.8">
      <c r="A31" s="1483" t="s">
        <v>1116</v>
      </c>
      <c r="B31" s="1480" t="s">
        <v>3369</v>
      </c>
      <c r="C31" s="1485" t="s">
        <v>1103</v>
      </c>
      <c r="D31" s="1632">
        <v>39370</v>
      </c>
      <c r="E31" s="1480"/>
      <c r="F31" s="1632">
        <v>50389</v>
      </c>
      <c r="G31" s="1653"/>
      <c r="H31" s="1648">
        <v>175000000</v>
      </c>
      <c r="I31" s="1653"/>
      <c r="J31" s="1655">
        <f>H31</f>
        <v>175000000</v>
      </c>
      <c r="K31" s="1653"/>
      <c r="L31" s="1637">
        <v>360</v>
      </c>
      <c r="M31" s="1498"/>
      <c r="N31" s="1649">
        <f>+(J31*L31/360)</f>
        <v>175000000</v>
      </c>
      <c r="O31" s="1498"/>
      <c r="P31" s="1639">
        <f>+N31/$N$41</f>
        <v>3.7821973053465144E-2</v>
      </c>
      <c r="Q31" s="1498"/>
      <c r="R31" s="1487">
        <f>'Wrksht U, LTD Cost 2'!AB31</f>
        <v>6.5756213114187209E-2</v>
      </c>
      <c r="S31" s="1480"/>
      <c r="T31" s="1489">
        <f>+P31*R31</f>
        <v>2.4870297205027E-3</v>
      </c>
      <c r="U31" s="1013"/>
      <c r="V31" s="61"/>
      <c r="W31" s="61"/>
      <c r="AA31" s="61"/>
      <c r="AB31" s="61"/>
      <c r="AC31" s="63"/>
      <c r="AD31" s="63"/>
      <c r="AE31" s="63"/>
      <c r="AF31" s="63"/>
      <c r="AH31" s="66"/>
      <c r="AI31" s="67"/>
      <c r="AJ31" s="67"/>
      <c r="AK31" s="67"/>
      <c r="AL31" s="67"/>
      <c r="AM31" s="67"/>
      <c r="AN31" s="67"/>
      <c r="AO31" s="67"/>
      <c r="AP31" s="67"/>
      <c r="AQ31" s="67"/>
      <c r="AR31" s="67"/>
      <c r="AS31" s="40"/>
      <c r="AT31" s="40"/>
      <c r="AU31" s="40"/>
      <c r="AV31" s="40"/>
      <c r="AW31" s="40"/>
    </row>
    <row r="32" spans="1:49" ht="13.8">
      <c r="A32" s="1483" t="s">
        <v>1073</v>
      </c>
      <c r="B32" s="1480" t="s">
        <v>3370</v>
      </c>
      <c r="C32" s="1485" t="s">
        <v>1103</v>
      </c>
      <c r="D32" s="1632">
        <v>39583</v>
      </c>
      <c r="E32" s="1480"/>
      <c r="F32" s="1632">
        <v>50540</v>
      </c>
      <c r="G32" s="1653"/>
      <c r="H32" s="1656">
        <v>100000000</v>
      </c>
      <c r="I32" s="1653"/>
      <c r="J32" s="1650">
        <f>H32</f>
        <v>100000000</v>
      </c>
      <c r="K32" s="1653"/>
      <c r="L32" s="1637">
        <v>360</v>
      </c>
      <c r="M32" s="1498"/>
      <c r="N32" s="1649">
        <f>+(J32*L32/360)</f>
        <v>100000000</v>
      </c>
      <c r="O32" s="1498"/>
      <c r="P32" s="1639">
        <f>+N32/$N$41</f>
        <v>2.1612556030551511E-2</v>
      </c>
      <c r="Q32" s="1498"/>
      <c r="R32" s="1487">
        <f>'Wrksht U, LTD Cost 2'!AB32</f>
        <v>6.6264423353424376E-2</v>
      </c>
      <c r="S32" s="1480"/>
      <c r="T32" s="1489">
        <f>+P32*R32</f>
        <v>1.4321435625580703E-3</v>
      </c>
      <c r="U32" s="1013"/>
      <c r="V32" s="61"/>
      <c r="W32" s="61"/>
      <c r="AA32" s="61"/>
      <c r="AB32" s="61"/>
      <c r="AC32" s="63"/>
      <c r="AD32" s="63"/>
      <c r="AE32" s="63"/>
      <c r="AF32" s="63"/>
      <c r="AH32" s="66"/>
      <c r="AI32" s="67"/>
      <c r="AJ32" s="67"/>
      <c r="AK32" s="67"/>
      <c r="AL32" s="67"/>
      <c r="AM32" s="67"/>
      <c r="AN32" s="67"/>
      <c r="AO32" s="67"/>
      <c r="AP32" s="67"/>
      <c r="AQ32" s="67"/>
      <c r="AR32" s="67"/>
      <c r="AS32" s="40"/>
      <c r="AT32" s="40"/>
      <c r="AU32" s="40"/>
      <c r="AV32" s="40"/>
      <c r="AW32" s="40"/>
    </row>
    <row r="33" spans="1:49" ht="13.8">
      <c r="A33" s="1483" t="s">
        <v>1074</v>
      </c>
      <c r="B33" s="1480" t="s">
        <v>3371</v>
      </c>
      <c r="C33" s="1485" t="s">
        <v>1103</v>
      </c>
      <c r="D33" s="1632">
        <v>41822</v>
      </c>
      <c r="E33" s="1480"/>
      <c r="F33" s="1632">
        <v>52793</v>
      </c>
      <c r="G33" s="1653"/>
      <c r="H33" s="1656">
        <v>250000000</v>
      </c>
      <c r="I33" s="1653"/>
      <c r="J33" s="1650">
        <f>H33</f>
        <v>250000000</v>
      </c>
      <c r="K33" s="1653"/>
      <c r="L33" s="1637">
        <v>360</v>
      </c>
      <c r="M33" s="1498"/>
      <c r="N33" s="1649">
        <f>+(J33*L33/360)</f>
        <v>250000000</v>
      </c>
      <c r="O33" s="1498"/>
      <c r="P33" s="1639">
        <f>+N33/$N$41</f>
        <v>5.403139007637877E-2</v>
      </c>
      <c r="Q33" s="1498"/>
      <c r="R33" s="1487">
        <f>'Wrksht U, LTD Cost 2'!AB33</f>
        <v>4.3853181131943135E-2</v>
      </c>
      <c r="S33" s="1480"/>
      <c r="T33" s="1489">
        <f>+P33*R33</f>
        <v>2.369448335830113E-3</v>
      </c>
      <c r="U33" s="1013"/>
      <c r="V33" s="61"/>
      <c r="W33" s="61"/>
      <c r="AA33" s="61"/>
      <c r="AB33" s="61"/>
      <c r="AC33" s="63"/>
      <c r="AD33" s="63"/>
      <c r="AE33" s="63"/>
      <c r="AF33" s="63"/>
      <c r="AH33" s="66"/>
      <c r="AI33" s="67"/>
      <c r="AJ33" s="67"/>
      <c r="AK33" s="67"/>
      <c r="AL33" s="67"/>
      <c r="AM33" s="67"/>
      <c r="AN33" s="67"/>
      <c r="AO33" s="67"/>
      <c r="AP33" s="67"/>
      <c r="AQ33" s="67"/>
      <c r="AR33" s="67"/>
      <c r="AS33" s="40"/>
      <c r="AT33" s="40"/>
      <c r="AU33" s="40"/>
      <c r="AV33" s="40"/>
      <c r="AW33" s="40"/>
    </row>
    <row r="34" spans="1:49" ht="13.8">
      <c r="A34" s="1483"/>
      <c r="B34" s="1480"/>
      <c r="C34" s="1485"/>
      <c r="D34" s="1632"/>
      <c r="E34" s="1480"/>
      <c r="F34" s="1632"/>
      <c r="G34" s="1653"/>
      <c r="H34" s="1648"/>
      <c r="I34" s="1653"/>
      <c r="J34" s="1650"/>
      <c r="K34" s="1653"/>
      <c r="L34" s="1637"/>
      <c r="M34" s="1498"/>
      <c r="N34" s="1649"/>
      <c r="O34" s="1498"/>
      <c r="P34" s="1639"/>
      <c r="Q34" s="1498"/>
      <c r="R34" s="1487"/>
      <c r="S34" s="1480"/>
      <c r="T34" s="1489"/>
      <c r="U34" s="1013"/>
      <c r="V34" s="61"/>
      <c r="W34" s="61"/>
      <c r="AA34" s="61"/>
      <c r="AB34" s="61"/>
      <c r="AC34" s="63"/>
      <c r="AD34" s="63"/>
      <c r="AE34" s="63"/>
      <c r="AF34" s="63"/>
      <c r="AH34" s="66"/>
      <c r="AI34" s="67"/>
      <c r="AJ34" s="67"/>
      <c r="AK34" s="67"/>
      <c r="AL34" s="67"/>
      <c r="AM34" s="67"/>
      <c r="AN34" s="67"/>
      <c r="AO34" s="67"/>
      <c r="AP34" s="67"/>
      <c r="AQ34" s="67"/>
      <c r="AR34" s="67"/>
      <c r="AS34" s="40"/>
      <c r="AT34" s="40"/>
      <c r="AU34" s="40"/>
      <c r="AV34" s="40"/>
      <c r="AW34" s="40"/>
    </row>
    <row r="35" spans="1:49" ht="13.8">
      <c r="A35" s="1483"/>
      <c r="B35" s="1651" t="s">
        <v>3103</v>
      </c>
      <c r="C35" s="1485"/>
      <c r="D35" s="1632"/>
      <c r="E35" s="1480"/>
      <c r="F35" s="1632"/>
      <c r="G35" s="1653"/>
      <c r="H35" s="1648"/>
      <c r="I35" s="1653"/>
      <c r="J35" s="1650"/>
      <c r="K35" s="1653"/>
      <c r="L35" s="1637"/>
      <c r="M35" s="1498"/>
      <c r="N35" s="1649"/>
      <c r="O35" s="1498"/>
      <c r="P35" s="1639"/>
      <c r="Q35" s="1498"/>
      <c r="R35" s="1487"/>
      <c r="S35" s="1480"/>
      <c r="T35" s="1489"/>
      <c r="U35" s="1013"/>
      <c r="V35" s="61"/>
      <c r="W35" s="61"/>
      <c r="AA35" s="61"/>
      <c r="AB35" s="61"/>
      <c r="AC35" s="63"/>
      <c r="AD35" s="63"/>
      <c r="AE35" s="63"/>
      <c r="AF35" s="63"/>
      <c r="AH35" s="40"/>
      <c r="AI35" s="40"/>
      <c r="AJ35" s="40"/>
      <c r="AK35" s="40"/>
      <c r="AL35" s="40"/>
      <c r="AM35" s="40"/>
      <c r="AN35" s="71"/>
      <c r="AO35" s="46"/>
      <c r="AP35" s="71"/>
      <c r="AQ35" s="40"/>
      <c r="AR35" s="40"/>
      <c r="AS35" s="40"/>
      <c r="AT35" s="40"/>
      <c r="AU35" s="40"/>
      <c r="AV35" s="40"/>
      <c r="AW35" s="40"/>
    </row>
    <row r="36" spans="1:49" ht="13.8">
      <c r="A36" s="1483" t="s">
        <v>1075</v>
      </c>
      <c r="B36" s="1480" t="s">
        <v>3372</v>
      </c>
      <c r="C36" s="1485" t="s">
        <v>1103</v>
      </c>
      <c r="D36" s="1634">
        <v>34452</v>
      </c>
      <c r="E36" s="1480"/>
      <c r="F36" s="1634">
        <v>46492</v>
      </c>
      <c r="G36" s="1653"/>
      <c r="H36" s="1657">
        <v>21940000</v>
      </c>
      <c r="I36" s="1653"/>
      <c r="J36" s="1655">
        <f>H36</f>
        <v>21940000</v>
      </c>
      <c r="K36" s="1653"/>
      <c r="L36" s="1637">
        <v>365</v>
      </c>
      <c r="M36" s="1497"/>
      <c r="N36" s="1658">
        <f>+(J36*L36/365)</f>
        <v>21940000</v>
      </c>
      <c r="O36" s="1497"/>
      <c r="P36" s="1639">
        <f>+N36/$N$41</f>
        <v>4.7417947931030014E-3</v>
      </c>
      <c r="Q36" s="1497"/>
      <c r="R36" s="1487">
        <f>'Wrksht U, LTD Cost 2'!AB36</f>
        <v>2.3818087511394713E-2</v>
      </c>
      <c r="S36" s="1480"/>
      <c r="T36" s="1489">
        <f>+P36*R36</f>
        <v>1.1294048334320308E-4</v>
      </c>
      <c r="U36" s="1013"/>
      <c r="V36" s="61"/>
      <c r="W36" s="61"/>
      <c r="AA36" s="61"/>
      <c r="AB36" s="61"/>
      <c r="AC36" s="63"/>
      <c r="AD36" s="63"/>
      <c r="AE36" s="63"/>
      <c r="AF36" s="63"/>
      <c r="AH36" s="66"/>
      <c r="AI36" s="67"/>
      <c r="AJ36" s="67"/>
      <c r="AK36" s="67"/>
      <c r="AL36" s="67"/>
      <c r="AM36" s="67"/>
      <c r="AN36" s="67"/>
      <c r="AO36" s="67"/>
      <c r="AP36" s="67"/>
      <c r="AQ36" s="67"/>
      <c r="AR36" s="67"/>
      <c r="AS36" s="40"/>
      <c r="AT36" s="40"/>
      <c r="AU36" s="40"/>
      <c r="AV36" s="40"/>
      <c r="AW36" s="40"/>
    </row>
    <row r="37" spans="1:49" ht="13.8">
      <c r="A37" s="1483" t="s">
        <v>1546</v>
      </c>
      <c r="B37" s="1480" t="s">
        <v>3373</v>
      </c>
      <c r="C37" s="1485" t="s">
        <v>1103</v>
      </c>
      <c r="D37" s="1634">
        <v>42522</v>
      </c>
      <c r="E37" s="1480"/>
      <c r="F37" s="1634">
        <v>48000</v>
      </c>
      <c r="G37" s="1653"/>
      <c r="H37" s="1635">
        <v>50000000</v>
      </c>
      <c r="I37" s="1653"/>
      <c r="J37" s="1659">
        <f>H37</f>
        <v>50000000</v>
      </c>
      <c r="K37" s="1653"/>
      <c r="L37" s="1637">
        <v>360</v>
      </c>
      <c r="M37" s="1497"/>
      <c r="N37" s="1638">
        <f>+(J37*L37/360)</f>
        <v>50000000</v>
      </c>
      <c r="O37" s="1497"/>
      <c r="P37" s="1639">
        <f>+N37/$N$41</f>
        <v>1.0806278015275755E-2</v>
      </c>
      <c r="Q37" s="1497"/>
      <c r="R37" s="1487">
        <f>'Wrksht U, LTD Cost 2'!AB37</f>
        <v>2.8264590851993378E-2</v>
      </c>
      <c r="S37" s="1480"/>
      <c r="T37" s="1489">
        <f>+P37*R37</f>
        <v>3.0543502673466028E-4</v>
      </c>
      <c r="U37" s="1013"/>
      <c r="V37" s="61"/>
      <c r="W37" s="61"/>
      <c r="AA37" s="61"/>
      <c r="AB37" s="61"/>
      <c r="AC37" s="63"/>
      <c r="AD37" s="63"/>
      <c r="AE37" s="63"/>
      <c r="AF37" s="63"/>
      <c r="AH37" s="66"/>
      <c r="AI37" s="67"/>
      <c r="AJ37" s="67"/>
      <c r="AK37" s="67"/>
      <c r="AL37" s="67"/>
      <c r="AM37" s="67"/>
      <c r="AN37" s="67"/>
      <c r="AO37" s="67"/>
      <c r="AP37" s="67"/>
      <c r="AQ37" s="67"/>
      <c r="AR37" s="67"/>
      <c r="AS37" s="40"/>
      <c r="AT37" s="40"/>
      <c r="AU37" s="40"/>
      <c r="AV37" s="40"/>
      <c r="AW37" s="40"/>
    </row>
    <row r="38" spans="1:49" ht="13.8">
      <c r="A38" s="1483" t="s">
        <v>1547</v>
      </c>
      <c r="B38" s="1480" t="s">
        <v>3374</v>
      </c>
      <c r="C38" s="1485" t="s">
        <v>1103</v>
      </c>
      <c r="D38" s="1634">
        <v>34452</v>
      </c>
      <c r="E38" s="1480"/>
      <c r="F38" s="1634">
        <v>48319</v>
      </c>
      <c r="G38" s="1653"/>
      <c r="H38" s="1635">
        <v>14500000</v>
      </c>
      <c r="I38" s="1653"/>
      <c r="J38" s="1660">
        <f>H38</f>
        <v>14500000</v>
      </c>
      <c r="K38" s="1653"/>
      <c r="L38" s="1637">
        <v>365</v>
      </c>
      <c r="M38" s="1497"/>
      <c r="N38" s="1638">
        <f>+(J38*L38/365)</f>
        <v>14500000</v>
      </c>
      <c r="O38" s="1497"/>
      <c r="P38" s="1639">
        <f>+N38/$N$41</f>
        <v>3.1338206244299689E-3</v>
      </c>
      <c r="Q38" s="1497"/>
      <c r="R38" s="1487">
        <f>'Wrksht U, LTD Cost 2'!AB38</f>
        <v>3.5628747586206898E-2</v>
      </c>
      <c r="S38" s="1480"/>
      <c r="T38" s="1489">
        <f>+P38*R38</f>
        <v>1.1165410400826465E-4</v>
      </c>
      <c r="U38" s="1013"/>
      <c r="V38" s="61"/>
      <c r="W38" s="61"/>
      <c r="AA38" s="61"/>
      <c r="AB38" s="61"/>
      <c r="AC38" s="63"/>
      <c r="AD38" s="63"/>
      <c r="AE38" s="63"/>
      <c r="AF38" s="63"/>
      <c r="AH38" s="66"/>
      <c r="AI38" s="67"/>
      <c r="AJ38" s="67"/>
      <c r="AK38" s="67"/>
      <c r="AL38" s="67"/>
      <c r="AM38" s="67"/>
      <c r="AN38" s="67"/>
      <c r="AO38" s="67"/>
      <c r="AP38" s="67"/>
      <c r="AQ38" s="67"/>
      <c r="AR38" s="67"/>
      <c r="AS38" s="40"/>
      <c r="AT38" s="40"/>
      <c r="AU38" s="40"/>
      <c r="AV38" s="40"/>
      <c r="AW38" s="40"/>
    </row>
    <row r="39" spans="1:49" ht="13.8">
      <c r="A39" s="1483" t="s">
        <v>3552</v>
      </c>
      <c r="B39" s="1480" t="s">
        <v>3375</v>
      </c>
      <c r="C39" s="1485" t="s">
        <v>1103</v>
      </c>
      <c r="D39" s="1634">
        <v>34452</v>
      </c>
      <c r="E39" s="1480"/>
      <c r="F39" s="1634">
        <v>48319</v>
      </c>
      <c r="G39" s="1653"/>
      <c r="H39" s="1635">
        <v>10000000</v>
      </c>
      <c r="I39" s="1653"/>
      <c r="J39" s="1660">
        <f>H39</f>
        <v>10000000</v>
      </c>
      <c r="K39" s="1653"/>
      <c r="L39" s="1637">
        <v>365</v>
      </c>
      <c r="M39" s="1497"/>
      <c r="N39" s="1638">
        <f>+(J39*L39/365)</f>
        <v>10000000</v>
      </c>
      <c r="O39" s="1497"/>
      <c r="P39" s="1639">
        <f>+N39/$N$41</f>
        <v>2.1612556030551509E-3</v>
      </c>
      <c r="Q39" s="1497"/>
      <c r="R39" s="1487">
        <f>'Wrksht U, LTD Cost 2'!AB39</f>
        <v>3.5628751E-2</v>
      </c>
      <c r="S39" s="1480"/>
      <c r="T39" s="1489">
        <f>+P39*R39</f>
        <v>7.7002837728606813E-5</v>
      </c>
      <c r="U39" s="1013"/>
      <c r="V39" s="61"/>
      <c r="W39" s="61"/>
      <c r="AA39" s="61"/>
      <c r="AB39" s="61"/>
      <c r="AC39" s="63"/>
      <c r="AD39" s="63"/>
      <c r="AE39" s="63"/>
      <c r="AF39" s="63"/>
      <c r="AH39" s="40"/>
      <c r="AI39" s="40"/>
      <c r="AJ39" s="40"/>
      <c r="AK39" s="40"/>
      <c r="AL39" s="40"/>
      <c r="AM39" s="40"/>
      <c r="AN39" s="71"/>
      <c r="AO39" s="46"/>
      <c r="AP39" s="71"/>
      <c r="AQ39" s="40"/>
      <c r="AR39" s="40"/>
      <c r="AS39" s="40"/>
      <c r="AT39" s="40"/>
      <c r="AU39" s="40"/>
      <c r="AV39" s="40"/>
      <c r="AW39" s="40"/>
    </row>
    <row r="40" spans="1:49" ht="14.4" thickBot="1">
      <c r="A40" s="1014"/>
      <c r="B40" s="991"/>
      <c r="C40" s="997"/>
      <c r="D40" s="1015"/>
      <c r="E40" s="1002"/>
      <c r="F40" s="1015"/>
      <c r="G40" s="1002"/>
      <c r="H40" s="1016"/>
      <c r="I40" s="1002"/>
      <c r="J40" s="1017"/>
      <c r="K40" s="1002"/>
      <c r="L40" s="1018"/>
      <c r="M40" s="1002"/>
      <c r="N40" s="1019"/>
      <c r="O40" s="1002"/>
      <c r="P40" s="1020"/>
      <c r="Q40" s="1002"/>
      <c r="R40" s="1021"/>
      <c r="S40" s="1002"/>
      <c r="T40" s="1022"/>
      <c r="U40" s="1013"/>
      <c r="V40" s="61"/>
      <c r="W40" s="61"/>
      <c r="AA40" s="61"/>
      <c r="AB40" s="61"/>
      <c r="AC40" s="63"/>
      <c r="AD40" s="63"/>
      <c r="AE40" s="63"/>
      <c r="AF40" s="63"/>
      <c r="AH40" s="40"/>
      <c r="AI40" s="40"/>
      <c r="AJ40" s="40"/>
      <c r="AK40" s="40"/>
      <c r="AL40" s="40"/>
      <c r="AM40" s="40"/>
      <c r="AN40" s="71"/>
      <c r="AO40" s="46"/>
      <c r="AP40" s="71"/>
      <c r="AQ40" s="40"/>
      <c r="AR40" s="40"/>
      <c r="AS40" s="40"/>
      <c r="AT40" s="40"/>
      <c r="AU40" s="40"/>
      <c r="AV40" s="40"/>
      <c r="AW40" s="40"/>
    </row>
    <row r="41" spans="1:49" ht="17.399999999999999" thickBot="1">
      <c r="A41" s="991"/>
      <c r="B41" s="1023" t="s">
        <v>468</v>
      </c>
      <c r="C41" s="1024"/>
      <c r="D41" s="991"/>
      <c r="E41" s="1025"/>
      <c r="F41" s="1026"/>
      <c r="G41" s="1025"/>
      <c r="H41" s="1027">
        <f>SUM(H14:H39)</f>
        <v>4626940000</v>
      </c>
      <c r="I41" s="1025"/>
      <c r="J41" s="1028">
        <f>SUM(J14:J39)</f>
        <v>4626940000</v>
      </c>
      <c r="K41" s="1025"/>
      <c r="L41" s="1029"/>
      <c r="M41" s="1028"/>
      <c r="N41" s="1299">
        <f>SUM(N14:N39)</f>
        <v>4626940000</v>
      </c>
      <c r="O41" s="1028"/>
      <c r="P41" s="1030">
        <f>SUM(P14:P39)</f>
        <v>1</v>
      </c>
      <c r="Q41" s="1028"/>
      <c r="R41" s="1029"/>
      <c r="S41" s="1025"/>
      <c r="T41" s="1300">
        <f>SUM(T14:T39)</f>
        <v>4.4253698878603656E-2</v>
      </c>
      <c r="U41" s="1031">
        <v>3</v>
      </c>
      <c r="V41" s="76"/>
      <c r="W41" s="70"/>
      <c r="AA41" s="61"/>
      <c r="AB41" s="61"/>
      <c r="AC41" s="63"/>
      <c r="AD41" s="63"/>
      <c r="AE41" s="63"/>
      <c r="AF41" s="63"/>
      <c r="AH41" s="40"/>
      <c r="AI41" s="40"/>
      <c r="AJ41" s="40"/>
      <c r="AK41" s="40"/>
      <c r="AL41" s="40"/>
      <c r="AM41" s="40"/>
      <c r="AN41" s="71"/>
      <c r="AO41" s="46"/>
      <c r="AP41" s="71"/>
      <c r="AQ41" s="40"/>
      <c r="AR41" s="40"/>
      <c r="AS41" s="40"/>
      <c r="AT41" s="40"/>
      <c r="AU41" s="40"/>
      <c r="AV41" s="40"/>
      <c r="AW41" s="40"/>
    </row>
    <row r="42" spans="1:49" ht="13.8">
      <c r="A42" s="991"/>
      <c r="B42" s="1004"/>
      <c r="C42" s="1024"/>
      <c r="D42" s="1024"/>
      <c r="E42" s="1024"/>
      <c r="F42" s="1032"/>
      <c r="G42" s="1024"/>
      <c r="H42" s="1024"/>
      <c r="I42" s="1024"/>
      <c r="J42" s="1024"/>
      <c r="K42" s="1024"/>
      <c r="L42" s="1024"/>
      <c r="M42" s="1024"/>
      <c r="N42" s="1024"/>
      <c r="O42" s="1024"/>
      <c r="P42" s="1033"/>
      <c r="Q42" s="1024"/>
      <c r="R42" s="1024"/>
      <c r="S42" s="1024"/>
      <c r="T42" s="1034" t="s">
        <v>430</v>
      </c>
      <c r="U42" s="1024"/>
      <c r="V42" s="72"/>
      <c r="W42" s="61"/>
      <c r="X42" s="61"/>
      <c r="Y42" s="61"/>
      <c r="Z42" s="61"/>
      <c r="AA42" s="61"/>
      <c r="AB42" s="61"/>
      <c r="AC42" s="63"/>
      <c r="AD42" s="63"/>
      <c r="AE42" s="63"/>
      <c r="AF42" s="63"/>
      <c r="AH42" s="40"/>
      <c r="AI42" s="40"/>
      <c r="AJ42" s="40"/>
      <c r="AK42" s="40"/>
      <c r="AL42" s="40"/>
      <c r="AM42" s="40"/>
      <c r="AN42" s="77"/>
      <c r="AO42" s="46"/>
      <c r="AP42" s="77"/>
      <c r="AQ42" s="40"/>
      <c r="AR42" s="40"/>
      <c r="AS42" s="40"/>
      <c r="AT42" s="40"/>
      <c r="AU42" s="40"/>
      <c r="AV42" s="40"/>
      <c r="AW42" s="40"/>
    </row>
    <row r="43" spans="1:49" ht="13.8">
      <c r="A43" s="991"/>
      <c r="B43" s="1004"/>
      <c r="C43" s="1024"/>
      <c r="D43" s="1024"/>
      <c r="E43" s="1024"/>
      <c r="F43" s="1035"/>
      <c r="G43" s="1024"/>
      <c r="H43" s="1024"/>
      <c r="I43" s="1024"/>
      <c r="J43" s="1024"/>
      <c r="K43" s="1024"/>
      <c r="L43" s="1024"/>
      <c r="M43" s="1024"/>
      <c r="N43" s="1024"/>
      <c r="O43" s="1024"/>
      <c r="P43" s="1033"/>
      <c r="Q43" s="1024"/>
      <c r="R43" s="1024"/>
      <c r="S43" s="1024"/>
      <c r="T43" s="1024"/>
      <c r="U43" s="1024"/>
      <c r="V43" s="72"/>
      <c r="W43" s="72"/>
      <c r="X43" s="61"/>
      <c r="Y43" s="61"/>
      <c r="Z43" s="61"/>
      <c r="AA43" s="61"/>
      <c r="AB43" s="61"/>
      <c r="AC43" s="63"/>
      <c r="AD43" s="63"/>
      <c r="AE43" s="63"/>
      <c r="AF43" s="63"/>
      <c r="AH43" s="40"/>
      <c r="AI43" s="40"/>
      <c r="AJ43" s="40"/>
      <c r="AK43" s="40"/>
      <c r="AL43" s="40"/>
      <c r="AM43" s="40"/>
      <c r="AN43" s="77"/>
      <c r="AO43" s="46"/>
      <c r="AP43" s="77"/>
      <c r="AQ43" s="40"/>
      <c r="AR43" s="40"/>
      <c r="AS43" s="40"/>
      <c r="AT43" s="40"/>
      <c r="AU43" s="40"/>
      <c r="AV43" s="40"/>
      <c r="AW43" s="40"/>
    </row>
    <row r="44" spans="1:49" ht="13.8">
      <c r="A44" s="991"/>
      <c r="B44" s="1004" t="s">
        <v>782</v>
      </c>
      <c r="C44" s="1024"/>
      <c r="D44" s="1024"/>
      <c r="E44" s="1024"/>
      <c r="F44" s="1032"/>
      <c r="G44" s="1024"/>
      <c r="H44" s="1024"/>
      <c r="I44" s="1024"/>
      <c r="J44" s="1024"/>
      <c r="K44" s="1024"/>
      <c r="L44" s="1024"/>
      <c r="M44" s="1024"/>
      <c r="N44" s="1024"/>
      <c r="O44" s="1024"/>
      <c r="P44" s="1024"/>
      <c r="Q44" s="1024"/>
      <c r="R44" s="1024"/>
      <c r="S44" s="1024"/>
      <c r="T44" s="1024"/>
      <c r="U44" s="1024"/>
      <c r="V44" s="72"/>
      <c r="W44" s="72"/>
      <c r="X44" s="61"/>
      <c r="Y44" s="61"/>
      <c r="Z44" s="61"/>
      <c r="AA44" s="61"/>
      <c r="AB44" s="61"/>
      <c r="AC44" s="63"/>
      <c r="AD44" s="63"/>
      <c r="AE44" s="63"/>
      <c r="AF44" s="63"/>
      <c r="AH44" s="40"/>
      <c r="AI44" s="40"/>
      <c r="AJ44" s="40"/>
      <c r="AK44" s="40"/>
      <c r="AL44" s="40"/>
      <c r="AM44" s="40"/>
      <c r="AN44" s="77"/>
      <c r="AO44" s="46"/>
      <c r="AP44" s="77"/>
      <c r="AQ44" s="40"/>
      <c r="AR44" s="40"/>
      <c r="AS44" s="40"/>
      <c r="AT44" s="40"/>
      <c r="AU44" s="40"/>
      <c r="AV44" s="40"/>
      <c r="AW44" s="40"/>
    </row>
    <row r="45" spans="1:49" ht="13.8">
      <c r="A45" s="991"/>
      <c r="B45" s="995" t="s">
        <v>3048</v>
      </c>
      <c r="C45" s="1024"/>
      <c r="D45" s="1024"/>
      <c r="E45" s="1024"/>
      <c r="F45" s="1032"/>
      <c r="G45" s="1024"/>
      <c r="H45" s="1024"/>
      <c r="I45" s="1024"/>
      <c r="J45" s="1024"/>
      <c r="K45" s="1024"/>
      <c r="L45" s="1024"/>
      <c r="M45" s="1024"/>
      <c r="N45" s="1024"/>
      <c r="O45" s="1024"/>
      <c r="P45" s="1024"/>
      <c r="Q45" s="1024"/>
      <c r="R45" s="1024"/>
      <c r="S45" s="1024"/>
      <c r="T45" s="1024"/>
      <c r="U45" s="1024"/>
      <c r="V45" s="72"/>
      <c r="W45" s="72"/>
      <c r="X45" s="61"/>
      <c r="Y45" s="61"/>
      <c r="Z45" s="61"/>
      <c r="AA45" s="61"/>
      <c r="AB45" s="61"/>
      <c r="AC45" s="63"/>
      <c r="AD45" s="63"/>
      <c r="AE45" s="63"/>
      <c r="AF45" s="63"/>
      <c r="AH45" s="40"/>
      <c r="AI45" s="40"/>
      <c r="AJ45" s="40"/>
      <c r="AK45" s="40"/>
      <c r="AL45" s="40"/>
      <c r="AM45" s="40"/>
      <c r="AN45" s="77"/>
      <c r="AO45" s="46"/>
      <c r="AP45" s="77"/>
      <c r="AQ45" s="40"/>
      <c r="AR45" s="40"/>
      <c r="AS45" s="40"/>
      <c r="AT45" s="40"/>
      <c r="AU45" s="40"/>
      <c r="AV45" s="40"/>
      <c r="AW45" s="40"/>
    </row>
    <row r="46" spans="1:49" ht="13.8">
      <c r="A46" s="991"/>
      <c r="B46" s="714" t="s">
        <v>3049</v>
      </c>
      <c r="C46" s="1024"/>
      <c r="D46" s="1024"/>
      <c r="E46" s="1024"/>
      <c r="F46" s="1032"/>
      <c r="G46" s="1024"/>
      <c r="H46" s="1024"/>
      <c r="I46" s="1024"/>
      <c r="J46" s="1024"/>
      <c r="K46" s="1024"/>
      <c r="L46" s="1024"/>
      <c r="M46" s="1024"/>
      <c r="N46" s="1024"/>
      <c r="O46" s="1024"/>
      <c r="P46" s="1024"/>
      <c r="Q46" s="1024"/>
      <c r="R46" s="1024"/>
      <c r="S46" s="1024"/>
      <c r="T46" s="1024"/>
      <c r="U46" s="1024"/>
      <c r="V46" s="72"/>
      <c r="W46" s="72"/>
      <c r="X46" s="61"/>
      <c r="Y46" s="61"/>
      <c r="Z46" s="61"/>
      <c r="AA46" s="61"/>
      <c r="AB46" s="61"/>
      <c r="AC46" s="63"/>
      <c r="AD46" s="63"/>
      <c r="AE46" s="63"/>
      <c r="AF46" s="63"/>
      <c r="AH46" s="40"/>
      <c r="AI46" s="40"/>
      <c r="AJ46" s="40"/>
      <c r="AK46" s="40"/>
      <c r="AL46" s="40"/>
      <c r="AM46" s="40"/>
      <c r="AN46" s="77"/>
      <c r="AO46" s="46"/>
      <c r="AP46" s="77"/>
      <c r="AQ46" s="40"/>
      <c r="AR46" s="40"/>
      <c r="AS46" s="40"/>
      <c r="AT46" s="40"/>
      <c r="AU46" s="40"/>
      <c r="AV46" s="40"/>
      <c r="AW46" s="40"/>
    </row>
    <row r="47" spans="1:49" ht="13.8">
      <c r="A47" s="991"/>
      <c r="B47" s="714" t="s">
        <v>130</v>
      </c>
      <c r="C47" s="1024"/>
      <c r="D47" s="1024"/>
      <c r="E47" s="1024"/>
      <c r="F47" s="1032"/>
      <c r="G47" s="1024"/>
      <c r="H47" s="1024"/>
      <c r="I47" s="1024"/>
      <c r="J47" s="1024"/>
      <c r="K47" s="1024"/>
      <c r="L47" s="1024"/>
      <c r="M47" s="1024"/>
      <c r="N47" s="1024"/>
      <c r="O47" s="1024"/>
      <c r="P47" s="1024"/>
      <c r="Q47" s="1024"/>
      <c r="R47" s="1024"/>
      <c r="S47" s="1024"/>
      <c r="T47" s="1024"/>
      <c r="U47" s="1024"/>
      <c r="V47" s="72"/>
      <c r="W47" s="72"/>
      <c r="X47" s="61"/>
      <c r="Y47" s="61"/>
      <c r="Z47" s="61"/>
      <c r="AA47" s="61"/>
      <c r="AB47" s="61"/>
      <c r="AC47" s="63"/>
      <c r="AD47" s="63"/>
      <c r="AE47" s="63"/>
      <c r="AF47" s="63"/>
      <c r="AH47" s="40"/>
      <c r="AI47" s="40"/>
      <c r="AJ47" s="40"/>
      <c r="AK47" s="40"/>
      <c r="AL47" s="40"/>
      <c r="AM47" s="40"/>
      <c r="AN47" s="77"/>
      <c r="AO47" s="46"/>
      <c r="AP47" s="77"/>
      <c r="AQ47" s="40"/>
      <c r="AR47" s="40"/>
      <c r="AS47" s="40"/>
      <c r="AT47" s="40"/>
      <c r="AU47" s="40"/>
      <c r="AV47" s="40"/>
      <c r="AW47" s="40"/>
    </row>
    <row r="48" spans="1:49" ht="15.6">
      <c r="A48" s="991"/>
      <c r="B48" s="1036" t="s">
        <v>2276</v>
      </c>
      <c r="C48" s="1024"/>
      <c r="D48" s="1030"/>
      <c r="E48" s="714"/>
      <c r="F48" s="1024"/>
      <c r="G48" s="1024"/>
      <c r="H48" s="1024"/>
      <c r="I48" s="1024"/>
      <c r="J48" s="1024"/>
      <c r="K48" s="1024"/>
      <c r="L48" s="1024"/>
      <c r="M48" s="1024"/>
      <c r="N48" s="1024"/>
      <c r="O48" s="1024"/>
      <c r="P48" s="1024"/>
      <c r="Q48" s="1024"/>
      <c r="R48" s="1024"/>
      <c r="S48" s="1024"/>
      <c r="T48" s="1024"/>
      <c r="U48" s="1024"/>
      <c r="V48" s="72"/>
      <c r="W48" s="72"/>
      <c r="X48" s="61"/>
      <c r="Y48" s="61"/>
      <c r="Z48" s="61"/>
      <c r="AA48" s="61"/>
      <c r="AB48" s="61"/>
      <c r="AC48" s="63"/>
      <c r="AD48" s="63"/>
      <c r="AE48" s="63"/>
      <c r="AF48" s="63"/>
      <c r="AH48" s="40"/>
      <c r="AI48" s="40"/>
      <c r="AJ48" s="40"/>
      <c r="AK48" s="40"/>
      <c r="AL48" s="40"/>
      <c r="AM48" s="40"/>
      <c r="AN48" s="77"/>
      <c r="AO48" s="46"/>
      <c r="AP48" s="77"/>
      <c r="AQ48" s="40"/>
      <c r="AR48" s="40"/>
      <c r="AS48" s="40"/>
      <c r="AT48" s="40"/>
      <c r="AU48" s="40"/>
      <c r="AV48" s="40"/>
      <c r="AW48" s="40"/>
    </row>
    <row r="49" spans="1:49" ht="13.8">
      <c r="A49" s="991"/>
      <c r="B49" s="1037" t="s">
        <v>97</v>
      </c>
      <c r="C49" s="1024"/>
      <c r="D49" s="1024"/>
      <c r="E49" s="1024"/>
      <c r="F49" s="1024"/>
      <c r="G49" s="1024"/>
      <c r="H49" s="1024"/>
      <c r="I49" s="1024"/>
      <c r="J49" s="1024"/>
      <c r="K49" s="1024"/>
      <c r="L49" s="1024"/>
      <c r="M49" s="1024"/>
      <c r="N49" s="1024"/>
      <c r="O49" s="1024"/>
      <c r="P49" s="1024"/>
      <c r="Q49" s="1024"/>
      <c r="R49" s="1024"/>
      <c r="S49" s="1024"/>
      <c r="T49" s="1024"/>
      <c r="U49" s="1024"/>
      <c r="V49" s="72"/>
      <c r="W49" s="72"/>
      <c r="X49" s="61"/>
      <c r="Y49" s="61"/>
      <c r="Z49" s="61"/>
      <c r="AA49" s="61"/>
      <c r="AB49" s="61"/>
      <c r="AC49" s="63"/>
      <c r="AD49" s="63"/>
      <c r="AE49" s="63"/>
      <c r="AF49" s="63"/>
      <c r="AH49" s="40"/>
      <c r="AI49" s="40"/>
      <c r="AJ49" s="40"/>
      <c r="AK49" s="40"/>
      <c r="AL49" s="40"/>
      <c r="AM49" s="40"/>
      <c r="AN49" s="46"/>
      <c r="AO49" s="46"/>
      <c r="AP49" s="46"/>
      <c r="AQ49" s="40"/>
      <c r="AR49" s="40"/>
      <c r="AS49" s="40"/>
      <c r="AT49" s="40"/>
      <c r="AU49" s="40"/>
      <c r="AV49" s="40"/>
      <c r="AW49" s="40"/>
    </row>
    <row r="50" spans="1:49" ht="13.8">
      <c r="A50" s="991"/>
      <c r="B50" s="1037" t="s">
        <v>98</v>
      </c>
      <c r="C50" s="1024"/>
      <c r="D50" s="1024"/>
      <c r="E50" s="1024"/>
      <c r="F50" s="1024"/>
      <c r="G50" s="1024"/>
      <c r="H50" s="1024"/>
      <c r="I50" s="1024"/>
      <c r="J50" s="1024"/>
      <c r="K50" s="1024"/>
      <c r="L50" s="1024"/>
      <c r="M50" s="1024"/>
      <c r="N50" s="1024"/>
      <c r="O50" s="1024"/>
      <c r="P50" s="1024"/>
      <c r="Q50" s="1024"/>
      <c r="R50" s="1024"/>
      <c r="S50" s="1024"/>
      <c r="T50" s="1024"/>
      <c r="U50" s="1024"/>
      <c r="V50" s="72"/>
      <c r="W50" s="72"/>
      <c r="X50" s="61"/>
      <c r="Y50" s="61"/>
      <c r="Z50" s="61"/>
      <c r="AA50" s="61"/>
      <c r="AB50" s="61"/>
      <c r="AC50" s="63"/>
      <c r="AD50" s="63"/>
      <c r="AE50" s="63"/>
      <c r="AF50" s="63"/>
      <c r="AH50" s="40"/>
      <c r="AI50" s="40"/>
      <c r="AJ50" s="40"/>
      <c r="AK50" s="40"/>
      <c r="AL50" s="40"/>
      <c r="AM50" s="40"/>
      <c r="AN50" s="46"/>
      <c r="AO50" s="46"/>
      <c r="AP50" s="46"/>
      <c r="AQ50" s="40"/>
      <c r="AR50" s="40"/>
      <c r="AS50" s="40"/>
      <c r="AT50" s="40"/>
      <c r="AU50" s="40"/>
      <c r="AV50" s="40"/>
      <c r="AW50" s="40"/>
    </row>
    <row r="51" spans="1:49" ht="15.6">
      <c r="A51" s="991"/>
      <c r="B51" s="1038" t="s">
        <v>2277</v>
      </c>
      <c r="C51" s="1024"/>
      <c r="D51" s="1024"/>
      <c r="E51" s="1024"/>
      <c r="F51" s="1024"/>
      <c r="G51" s="1024"/>
      <c r="H51" s="1024"/>
      <c r="I51" s="1024"/>
      <c r="J51" s="1024"/>
      <c r="K51" s="1024"/>
      <c r="L51" s="1024"/>
      <c r="M51" s="1024"/>
      <c r="N51" s="1024"/>
      <c r="O51" s="1024"/>
      <c r="P51" s="1024"/>
      <c r="Q51" s="1024"/>
      <c r="R51" s="1024"/>
      <c r="S51" s="1024"/>
      <c r="T51" s="1024"/>
      <c r="U51" s="1024"/>
      <c r="V51" s="72"/>
      <c r="W51" s="72"/>
      <c r="X51" s="61"/>
      <c r="Y51" s="61"/>
      <c r="Z51" s="61"/>
      <c r="AA51" s="61"/>
      <c r="AB51" s="61"/>
      <c r="AC51" s="63"/>
      <c r="AD51" s="63"/>
      <c r="AE51" s="63"/>
      <c r="AF51" s="63"/>
      <c r="AH51" s="40"/>
      <c r="AI51" s="40"/>
      <c r="AJ51" s="40"/>
      <c r="AK51" s="40"/>
      <c r="AL51" s="40"/>
      <c r="AM51" s="40"/>
      <c r="AN51" s="46"/>
      <c r="AO51" s="46"/>
      <c r="AP51" s="46"/>
      <c r="AQ51" s="40"/>
      <c r="AR51" s="40"/>
      <c r="AS51" s="40"/>
      <c r="AT51" s="40"/>
      <c r="AU51" s="40"/>
      <c r="AV51" s="40"/>
      <c r="AW51" s="40"/>
    </row>
    <row r="52" spans="1:49" ht="15.6">
      <c r="A52" s="991"/>
      <c r="B52" s="1038" t="s">
        <v>2278</v>
      </c>
      <c r="C52" s="1024"/>
      <c r="D52" s="1024"/>
      <c r="E52" s="1024"/>
      <c r="F52" s="1024"/>
      <c r="G52" s="1024"/>
      <c r="H52" s="1024"/>
      <c r="I52" s="1024"/>
      <c r="J52" s="1024"/>
      <c r="K52" s="1024"/>
      <c r="L52" s="1024"/>
      <c r="M52" s="1024"/>
      <c r="N52" s="1024"/>
      <c r="O52" s="1024"/>
      <c r="P52" s="1024"/>
      <c r="Q52" s="1024"/>
      <c r="R52" s="1024"/>
      <c r="S52" s="1024"/>
      <c r="T52" s="1024"/>
      <c r="U52" s="1024"/>
      <c r="V52" s="72"/>
      <c r="W52" s="72"/>
      <c r="X52" s="61"/>
      <c r="Y52" s="61"/>
      <c r="Z52" s="61"/>
      <c r="AA52" s="61"/>
      <c r="AB52" s="61"/>
      <c r="AC52" s="63"/>
      <c r="AD52" s="63"/>
      <c r="AE52" s="63"/>
      <c r="AF52" s="63"/>
      <c r="AH52" s="40"/>
      <c r="AI52" s="40"/>
      <c r="AJ52" s="40"/>
      <c r="AK52" s="40"/>
      <c r="AL52" s="40"/>
      <c r="AM52" s="40"/>
      <c r="AN52" s="46"/>
      <c r="AO52" s="46"/>
      <c r="AP52" s="46"/>
      <c r="AQ52" s="40"/>
      <c r="AR52" s="40"/>
      <c r="AS52" s="40"/>
      <c r="AT52" s="40"/>
      <c r="AU52" s="40"/>
      <c r="AV52" s="40"/>
      <c r="AW52" s="40"/>
    </row>
    <row r="53" spans="1:49" ht="15.6">
      <c r="B53" s="98"/>
      <c r="C53" s="56"/>
      <c r="D53" s="56"/>
      <c r="E53" s="56"/>
      <c r="F53" s="56"/>
      <c r="G53" s="56"/>
      <c r="H53" s="56"/>
      <c r="I53" s="56"/>
      <c r="J53" s="56"/>
      <c r="K53" s="56"/>
      <c r="L53" s="56"/>
      <c r="M53" s="56"/>
      <c r="N53" s="56"/>
      <c r="O53" s="56"/>
      <c r="P53" s="56"/>
      <c r="Q53" s="56"/>
      <c r="R53" s="56"/>
      <c r="S53" s="56"/>
      <c r="T53" s="56"/>
      <c r="U53" s="56"/>
      <c r="V53" s="56"/>
      <c r="W53" s="56"/>
      <c r="X53" s="46"/>
      <c r="Y53" s="46"/>
      <c r="Z53" s="46"/>
      <c r="AA53" s="46"/>
      <c r="AB53" s="46"/>
      <c r="AC53" s="46"/>
      <c r="AD53" s="46"/>
      <c r="AE53" s="46"/>
      <c r="AF53" s="46"/>
    </row>
    <row r="54" spans="1:49">
      <c r="B54" s="43"/>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row>
    <row r="55" spans="1:49">
      <c r="B55" s="78"/>
      <c r="C55" s="46"/>
      <c r="D55" s="46"/>
      <c r="E55" s="46"/>
      <c r="F55" s="68"/>
      <c r="G55" s="68"/>
      <c r="H55" s="68"/>
      <c r="I55" s="68"/>
      <c r="J55" s="68"/>
      <c r="K55" s="68"/>
      <c r="L55" s="68"/>
      <c r="M55" s="68"/>
      <c r="N55" s="68"/>
      <c r="O55" s="68"/>
      <c r="P55" s="68"/>
      <c r="Q55" s="68"/>
      <c r="R55" s="68"/>
      <c r="S55" s="68"/>
      <c r="T55" s="68"/>
      <c r="U55" s="68"/>
      <c r="V55" s="46"/>
      <c r="W55" s="46"/>
      <c r="X55" s="46"/>
      <c r="Y55" s="46"/>
      <c r="Z55" s="46"/>
      <c r="AA55" s="46"/>
      <c r="AB55" s="46"/>
      <c r="AC55" s="46"/>
      <c r="AD55" s="46"/>
      <c r="AE55" s="46"/>
      <c r="AF55" s="46"/>
    </row>
    <row r="56" spans="1:49">
      <c r="B56" s="46"/>
      <c r="C56" s="46"/>
      <c r="D56" s="68"/>
      <c r="E56" s="68"/>
      <c r="F56" s="68"/>
      <c r="G56" s="68"/>
      <c r="H56" s="68"/>
      <c r="I56" s="68"/>
      <c r="J56" s="68"/>
      <c r="K56" s="68"/>
      <c r="L56" s="68"/>
      <c r="M56" s="68"/>
      <c r="N56" s="68"/>
      <c r="O56" s="68"/>
      <c r="P56" s="68"/>
      <c r="Q56" s="68"/>
      <c r="R56" s="68"/>
      <c r="S56" s="68"/>
      <c r="T56" s="68"/>
      <c r="U56" s="68"/>
      <c r="V56" s="68"/>
      <c r="W56" s="68"/>
      <c r="X56" s="46"/>
      <c r="Y56" s="46"/>
      <c r="Z56" s="46"/>
      <c r="AA56" s="46"/>
      <c r="AB56" s="46"/>
      <c r="AC56" s="46"/>
      <c r="AD56" s="46"/>
      <c r="AE56" s="46"/>
      <c r="AF56" s="46"/>
    </row>
    <row r="57" spans="1:49">
      <c r="B57" s="79"/>
      <c r="C57" s="46"/>
      <c r="D57" s="68"/>
      <c r="E57" s="68"/>
      <c r="F57" s="68"/>
      <c r="G57" s="68"/>
      <c r="H57" s="68"/>
      <c r="I57" s="68"/>
      <c r="J57" s="68"/>
      <c r="K57" s="68"/>
      <c r="L57" s="68"/>
      <c r="M57" s="68"/>
      <c r="N57" s="68"/>
      <c r="O57" s="68"/>
      <c r="P57" s="68"/>
      <c r="Q57" s="68"/>
      <c r="R57" s="68"/>
      <c r="S57" s="68"/>
      <c r="T57" s="68"/>
      <c r="U57" s="68"/>
      <c r="V57" s="68"/>
      <c r="W57" s="68"/>
      <c r="X57" s="46"/>
      <c r="Y57" s="46"/>
      <c r="Z57" s="46"/>
      <c r="AA57" s="46"/>
      <c r="AB57" s="46"/>
      <c r="AC57" s="46"/>
      <c r="AD57" s="46"/>
      <c r="AE57" s="46"/>
      <c r="AF57" s="46"/>
    </row>
    <row r="58" spans="1:49">
      <c r="B58" s="55"/>
      <c r="C58" s="46"/>
      <c r="D58" s="68"/>
      <c r="E58" s="68"/>
      <c r="F58" s="68"/>
      <c r="G58" s="68"/>
      <c r="H58" s="68"/>
      <c r="I58" s="68"/>
      <c r="J58" s="68"/>
      <c r="K58" s="68"/>
      <c r="L58" s="68"/>
      <c r="M58" s="68"/>
      <c r="N58" s="68"/>
      <c r="O58" s="68"/>
      <c r="P58" s="68"/>
      <c r="Q58" s="68"/>
      <c r="R58" s="68"/>
      <c r="S58" s="68"/>
      <c r="T58" s="68"/>
      <c r="U58" s="68"/>
      <c r="V58" s="68"/>
      <c r="W58" s="68"/>
      <c r="X58" s="46"/>
      <c r="Y58" s="46"/>
      <c r="Z58" s="46"/>
      <c r="AA58" s="46"/>
      <c r="AB58" s="46"/>
      <c r="AC58" s="46"/>
      <c r="AD58" s="46"/>
      <c r="AE58" s="46"/>
      <c r="AF58" s="46"/>
    </row>
    <row r="59" spans="1:49">
      <c r="B59" s="75"/>
      <c r="C59" s="46"/>
      <c r="D59" s="59"/>
      <c r="E59" s="59"/>
      <c r="F59" s="59"/>
      <c r="G59" s="73"/>
      <c r="H59" s="59"/>
      <c r="I59" s="73"/>
      <c r="J59" s="73"/>
      <c r="K59" s="73"/>
      <c r="L59" s="73"/>
      <c r="M59" s="73"/>
      <c r="N59" s="73"/>
      <c r="O59" s="73"/>
      <c r="P59" s="73"/>
      <c r="Q59" s="73"/>
      <c r="R59" s="46"/>
      <c r="S59" s="46"/>
      <c r="T59" s="46"/>
      <c r="U59" s="46"/>
      <c r="V59" s="73"/>
      <c r="W59" s="68"/>
      <c r="X59" s="46"/>
      <c r="Y59" s="46"/>
      <c r="Z59" s="46"/>
      <c r="AA59" s="46"/>
      <c r="AB59" s="46"/>
      <c r="AC59" s="46"/>
      <c r="AD59" s="46"/>
      <c r="AE59" s="46"/>
      <c r="AF59" s="46"/>
    </row>
    <row r="60" spans="1:49">
      <c r="B60" s="75"/>
      <c r="C60" s="46"/>
      <c r="D60" s="59"/>
      <c r="E60" s="59"/>
      <c r="F60" s="59"/>
      <c r="G60" s="73"/>
      <c r="H60" s="59"/>
      <c r="I60" s="73"/>
      <c r="J60" s="73"/>
      <c r="K60" s="73"/>
      <c r="L60" s="73"/>
      <c r="M60" s="73"/>
      <c r="N60" s="73"/>
      <c r="O60" s="73"/>
      <c r="P60" s="73"/>
      <c r="Q60" s="73"/>
      <c r="R60" s="46"/>
      <c r="S60" s="46"/>
      <c r="T60" s="46"/>
      <c r="U60" s="46"/>
      <c r="V60" s="73"/>
      <c r="W60" s="68"/>
      <c r="X60" s="46"/>
      <c r="Y60" s="46"/>
      <c r="Z60" s="46"/>
      <c r="AA60" s="46"/>
      <c r="AB60" s="46"/>
      <c r="AC60" s="46"/>
      <c r="AD60" s="46"/>
      <c r="AE60" s="46"/>
      <c r="AF60" s="46"/>
    </row>
    <row r="61" spans="1:49">
      <c r="B61" s="75"/>
      <c r="C61" s="46"/>
      <c r="D61" s="59"/>
      <c r="E61" s="59"/>
      <c r="F61" s="59"/>
      <c r="G61" s="73"/>
      <c r="H61" s="59"/>
      <c r="I61" s="73"/>
      <c r="J61" s="73"/>
      <c r="K61" s="73"/>
      <c r="L61" s="73"/>
      <c r="M61" s="73"/>
      <c r="N61" s="73"/>
      <c r="O61" s="73"/>
      <c r="P61" s="73"/>
      <c r="Q61" s="73"/>
      <c r="R61" s="46"/>
      <c r="S61" s="46"/>
      <c r="T61" s="46"/>
      <c r="U61" s="46"/>
      <c r="V61" s="73"/>
      <c r="W61" s="68"/>
      <c r="X61" s="46"/>
      <c r="Y61" s="46"/>
      <c r="Z61" s="46"/>
      <c r="AA61" s="46"/>
      <c r="AB61" s="46"/>
      <c r="AC61" s="46"/>
      <c r="AD61" s="46"/>
      <c r="AE61" s="46"/>
      <c r="AF61" s="46"/>
    </row>
    <row r="62" spans="1:49">
      <c r="B62" s="80"/>
      <c r="C62" s="46"/>
      <c r="D62" s="59"/>
      <c r="E62" s="59"/>
      <c r="F62" s="59"/>
      <c r="G62" s="73"/>
      <c r="H62" s="59"/>
      <c r="I62" s="73"/>
      <c r="J62" s="73"/>
      <c r="K62" s="73"/>
      <c r="L62" s="73"/>
      <c r="M62" s="73"/>
      <c r="N62" s="73"/>
      <c r="O62" s="73"/>
      <c r="P62" s="73"/>
      <c r="Q62" s="73"/>
      <c r="R62" s="46"/>
      <c r="S62" s="46"/>
      <c r="T62" s="46"/>
      <c r="U62" s="46"/>
      <c r="V62" s="73"/>
      <c r="W62" s="68"/>
      <c r="X62" s="46"/>
      <c r="Y62" s="46"/>
      <c r="Z62" s="46"/>
      <c r="AA62" s="46"/>
      <c r="AB62" s="46"/>
      <c r="AC62" s="46"/>
      <c r="AD62" s="46"/>
      <c r="AE62" s="46"/>
      <c r="AF62" s="46"/>
    </row>
    <row r="63" spans="1:49">
      <c r="B63" s="80"/>
      <c r="C63" s="46"/>
      <c r="D63" s="59"/>
      <c r="E63" s="59"/>
      <c r="F63" s="59"/>
      <c r="G63" s="73"/>
      <c r="H63" s="59"/>
      <c r="I63" s="73"/>
      <c r="J63" s="73"/>
      <c r="K63" s="73"/>
      <c r="L63" s="73"/>
      <c r="M63" s="73"/>
      <c r="N63" s="73"/>
      <c r="O63" s="73"/>
      <c r="P63" s="73"/>
      <c r="Q63" s="73"/>
      <c r="R63" s="46"/>
      <c r="S63" s="46"/>
      <c r="T63" s="46"/>
      <c r="U63" s="46"/>
      <c r="V63" s="73"/>
      <c r="W63" s="68"/>
      <c r="X63" s="46"/>
      <c r="Y63" s="46"/>
      <c r="Z63" s="46"/>
      <c r="AA63" s="46"/>
      <c r="AB63" s="46"/>
      <c r="AC63" s="46"/>
      <c r="AD63" s="46"/>
      <c r="AE63" s="46"/>
      <c r="AF63" s="46"/>
    </row>
    <row r="64" spans="1:49">
      <c r="B64" s="81"/>
      <c r="C64" s="46"/>
      <c r="D64" s="59"/>
      <c r="E64" s="59"/>
      <c r="F64" s="59"/>
      <c r="G64" s="73"/>
      <c r="H64" s="59"/>
      <c r="I64" s="73"/>
      <c r="J64" s="73"/>
      <c r="K64" s="73"/>
      <c r="L64" s="73"/>
      <c r="M64" s="73"/>
      <c r="N64" s="73"/>
      <c r="O64" s="73"/>
      <c r="P64" s="73"/>
      <c r="Q64" s="73"/>
      <c r="R64" s="46"/>
      <c r="S64" s="46"/>
      <c r="T64" s="46"/>
      <c r="U64" s="46"/>
      <c r="V64" s="73"/>
      <c r="W64" s="68"/>
      <c r="X64" s="46"/>
      <c r="Y64" s="46"/>
      <c r="Z64" s="46"/>
      <c r="AA64" s="46"/>
      <c r="AB64" s="46"/>
      <c r="AC64" s="46"/>
      <c r="AD64" s="46"/>
      <c r="AE64" s="46"/>
      <c r="AF64" s="46"/>
    </row>
    <row r="65" spans="2:32">
      <c r="B65" s="75"/>
      <c r="C65" s="46"/>
      <c r="D65" s="59"/>
      <c r="E65" s="59"/>
      <c r="F65" s="59"/>
      <c r="G65" s="73"/>
      <c r="H65" s="59"/>
      <c r="I65" s="73"/>
      <c r="J65" s="73"/>
      <c r="K65" s="73"/>
      <c r="L65" s="73"/>
      <c r="M65" s="73"/>
      <c r="N65" s="73"/>
      <c r="O65" s="73"/>
      <c r="P65" s="73"/>
      <c r="Q65" s="73"/>
      <c r="R65" s="46"/>
      <c r="S65" s="46"/>
      <c r="T65" s="46"/>
      <c r="U65" s="46"/>
      <c r="V65" s="73"/>
      <c r="W65" s="68"/>
      <c r="X65" s="46"/>
      <c r="Y65" s="46"/>
      <c r="Z65" s="46"/>
      <c r="AA65" s="46"/>
      <c r="AB65" s="46"/>
      <c r="AC65" s="46"/>
      <c r="AD65" s="46"/>
      <c r="AE65" s="46"/>
      <c r="AF65" s="46"/>
    </row>
    <row r="66" spans="2:32">
      <c r="B66" s="75"/>
      <c r="C66" s="46"/>
      <c r="D66" s="59"/>
      <c r="E66" s="59"/>
      <c r="F66" s="59"/>
      <c r="G66" s="73"/>
      <c r="H66" s="59"/>
      <c r="I66" s="73"/>
      <c r="J66" s="73"/>
      <c r="K66" s="73"/>
      <c r="L66" s="73"/>
      <c r="M66" s="73"/>
      <c r="N66" s="73"/>
      <c r="O66" s="73"/>
      <c r="P66" s="73"/>
      <c r="Q66" s="73"/>
      <c r="R66" s="46"/>
      <c r="S66" s="46"/>
      <c r="T66" s="46"/>
      <c r="U66" s="46"/>
      <c r="V66" s="73"/>
      <c r="W66" s="68"/>
      <c r="X66" s="46"/>
      <c r="Y66" s="46"/>
      <c r="Z66" s="46"/>
      <c r="AA66" s="46"/>
      <c r="AB66" s="46"/>
      <c r="AC66" s="46"/>
      <c r="AD66" s="46"/>
      <c r="AE66" s="46"/>
      <c r="AF66" s="46"/>
    </row>
    <row r="67" spans="2:32">
      <c r="B67" s="75"/>
      <c r="C67" s="46"/>
      <c r="D67" s="59"/>
      <c r="E67" s="59"/>
      <c r="F67" s="59"/>
      <c r="G67" s="73"/>
      <c r="H67" s="59"/>
      <c r="I67" s="73"/>
      <c r="J67" s="73"/>
      <c r="K67" s="73"/>
      <c r="L67" s="73"/>
      <c r="M67" s="73"/>
      <c r="N67" s="73"/>
      <c r="O67" s="73"/>
      <c r="P67" s="73"/>
      <c r="Q67" s="73"/>
      <c r="R67" s="46"/>
      <c r="S67" s="46"/>
      <c r="T67" s="46"/>
      <c r="U67" s="46"/>
      <c r="V67" s="73"/>
      <c r="W67" s="68"/>
      <c r="X67" s="46"/>
      <c r="Y67" s="46"/>
      <c r="Z67" s="46"/>
      <c r="AA67" s="46"/>
      <c r="AB67" s="46"/>
      <c r="AC67" s="46"/>
      <c r="AD67" s="46"/>
      <c r="AE67" s="46"/>
      <c r="AF67" s="46"/>
    </row>
    <row r="68" spans="2:32">
      <c r="B68" s="75"/>
      <c r="C68" s="46"/>
      <c r="D68" s="59"/>
      <c r="E68" s="59"/>
      <c r="F68" s="59"/>
      <c r="G68" s="73"/>
      <c r="H68" s="59"/>
      <c r="I68" s="73"/>
      <c r="J68" s="73"/>
      <c r="K68" s="73"/>
      <c r="L68" s="73"/>
      <c r="M68" s="73"/>
      <c r="N68" s="73"/>
      <c r="O68" s="73"/>
      <c r="P68" s="73"/>
      <c r="Q68" s="73"/>
      <c r="R68" s="46"/>
      <c r="S68" s="46"/>
      <c r="T68" s="46"/>
      <c r="U68" s="46"/>
      <c r="V68" s="73"/>
      <c r="W68" s="68"/>
      <c r="X68" s="46"/>
      <c r="Y68" s="46"/>
      <c r="Z68" s="46"/>
      <c r="AA68" s="46"/>
      <c r="AB68" s="46"/>
      <c r="AC68" s="46"/>
      <c r="AD68" s="46"/>
      <c r="AE68" s="46"/>
      <c r="AF68" s="46"/>
    </row>
    <row r="69" spans="2:32">
      <c r="B69" s="75"/>
      <c r="C69" s="46"/>
      <c r="D69" s="59"/>
      <c r="E69" s="59"/>
      <c r="F69" s="59"/>
      <c r="G69" s="73"/>
      <c r="H69" s="59"/>
      <c r="I69" s="73"/>
      <c r="J69" s="73"/>
      <c r="K69" s="73"/>
      <c r="L69" s="73"/>
      <c r="M69" s="73"/>
      <c r="N69" s="73"/>
      <c r="O69" s="73"/>
      <c r="P69" s="73"/>
      <c r="Q69" s="73"/>
      <c r="R69" s="46"/>
      <c r="S69" s="46"/>
      <c r="T69" s="46"/>
      <c r="U69" s="46"/>
      <c r="V69" s="73"/>
      <c r="W69" s="68"/>
      <c r="X69" s="46"/>
      <c r="Y69" s="46"/>
      <c r="Z69" s="46"/>
      <c r="AA69" s="46"/>
      <c r="AB69" s="46"/>
      <c r="AC69" s="46"/>
      <c r="AD69" s="46"/>
      <c r="AE69" s="46"/>
      <c r="AF69" s="46"/>
    </row>
    <row r="70" spans="2:32">
      <c r="B70" s="75"/>
      <c r="C70" s="46"/>
      <c r="D70" s="59"/>
      <c r="E70" s="59"/>
      <c r="F70" s="59"/>
      <c r="G70" s="73"/>
      <c r="H70" s="59"/>
      <c r="I70" s="73"/>
      <c r="J70" s="73"/>
      <c r="K70" s="73"/>
      <c r="L70" s="73"/>
      <c r="M70" s="73"/>
      <c r="N70" s="73"/>
      <c r="O70" s="73"/>
      <c r="P70" s="73"/>
      <c r="Q70" s="73"/>
      <c r="R70" s="46"/>
      <c r="S70" s="46"/>
      <c r="T70" s="46"/>
      <c r="U70" s="46"/>
      <c r="V70" s="73"/>
      <c r="W70" s="68"/>
      <c r="X70" s="46"/>
      <c r="Y70" s="46"/>
      <c r="Z70" s="46"/>
      <c r="AA70" s="46"/>
      <c r="AB70" s="46"/>
      <c r="AC70" s="46"/>
      <c r="AD70" s="46"/>
      <c r="AE70" s="46"/>
      <c r="AF70" s="46"/>
    </row>
    <row r="71" spans="2:32">
      <c r="B71" s="75"/>
      <c r="C71" s="46"/>
      <c r="D71" s="59"/>
      <c r="E71" s="59"/>
      <c r="F71" s="59"/>
      <c r="G71" s="73"/>
      <c r="H71" s="59"/>
      <c r="I71" s="73"/>
      <c r="J71" s="73"/>
      <c r="K71" s="73"/>
      <c r="L71" s="73"/>
      <c r="M71" s="73"/>
      <c r="N71" s="73"/>
      <c r="O71" s="73"/>
      <c r="P71" s="73"/>
      <c r="Q71" s="73"/>
      <c r="R71" s="46"/>
      <c r="S71" s="46"/>
      <c r="T71" s="46"/>
      <c r="U71" s="46"/>
      <c r="V71" s="73"/>
      <c r="W71" s="68"/>
      <c r="X71" s="46"/>
      <c r="Y71" s="46"/>
      <c r="Z71" s="46"/>
      <c r="AA71" s="46"/>
      <c r="AB71" s="46"/>
      <c r="AC71" s="46"/>
      <c r="AD71" s="46"/>
      <c r="AE71" s="46"/>
      <c r="AF71" s="46"/>
    </row>
    <row r="72" spans="2:32">
      <c r="B72" s="75"/>
      <c r="C72" s="46"/>
      <c r="D72" s="59"/>
      <c r="E72" s="59"/>
      <c r="F72" s="59"/>
      <c r="G72" s="73"/>
      <c r="H72" s="59"/>
      <c r="I72" s="73"/>
      <c r="J72" s="73"/>
      <c r="K72" s="73"/>
      <c r="L72" s="73"/>
      <c r="M72" s="73"/>
      <c r="N72" s="73"/>
      <c r="O72" s="73"/>
      <c r="P72" s="73"/>
      <c r="Q72" s="73"/>
      <c r="R72" s="46"/>
      <c r="S72" s="46"/>
      <c r="T72" s="46"/>
      <c r="U72" s="46"/>
      <c r="V72" s="73"/>
      <c r="W72" s="68"/>
      <c r="X72" s="46"/>
      <c r="Y72" s="46"/>
      <c r="Z72" s="46"/>
      <c r="AA72" s="46"/>
      <c r="AB72" s="46"/>
      <c r="AC72" s="46"/>
      <c r="AD72" s="46"/>
      <c r="AE72" s="46"/>
      <c r="AF72" s="46"/>
    </row>
    <row r="73" spans="2:32">
      <c r="B73" s="75"/>
      <c r="C73" s="46"/>
      <c r="D73" s="59"/>
      <c r="E73" s="59"/>
      <c r="F73" s="59"/>
      <c r="G73" s="73"/>
      <c r="H73" s="59"/>
      <c r="I73" s="73"/>
      <c r="J73" s="73"/>
      <c r="K73" s="73"/>
      <c r="L73" s="73"/>
      <c r="M73" s="73"/>
      <c r="N73" s="73"/>
      <c r="O73" s="73"/>
      <c r="P73" s="73"/>
      <c r="Q73" s="73"/>
      <c r="R73" s="46"/>
      <c r="S73" s="46"/>
      <c r="T73" s="46"/>
      <c r="U73" s="46"/>
      <c r="V73" s="73"/>
      <c r="W73" s="68"/>
      <c r="X73" s="46"/>
      <c r="Y73" s="46"/>
      <c r="Z73" s="46"/>
      <c r="AA73" s="46"/>
      <c r="AB73" s="46"/>
      <c r="AC73" s="46"/>
      <c r="AD73" s="46"/>
      <c r="AE73" s="46"/>
      <c r="AF73" s="46"/>
    </row>
    <row r="74" spans="2:32">
      <c r="B74" s="75"/>
      <c r="C74" s="46"/>
      <c r="D74" s="59"/>
      <c r="E74" s="59"/>
      <c r="F74" s="59"/>
      <c r="G74" s="73"/>
      <c r="H74" s="59"/>
      <c r="I74" s="73"/>
      <c r="J74" s="73"/>
      <c r="K74" s="73"/>
      <c r="L74" s="73"/>
      <c r="M74" s="73"/>
      <c r="N74" s="73"/>
      <c r="O74" s="73"/>
      <c r="P74" s="73"/>
      <c r="Q74" s="73"/>
      <c r="R74" s="46"/>
      <c r="S74" s="46"/>
      <c r="T74" s="46"/>
      <c r="U74" s="46"/>
      <c r="V74" s="73"/>
      <c r="W74" s="68"/>
      <c r="X74" s="46"/>
      <c r="Y74" s="46"/>
      <c r="Z74" s="46"/>
      <c r="AA74" s="46"/>
      <c r="AB74" s="46"/>
      <c r="AC74" s="46"/>
      <c r="AD74" s="46"/>
      <c r="AE74" s="46"/>
      <c r="AF74" s="46"/>
    </row>
    <row r="75" spans="2:32">
      <c r="B75" s="75"/>
      <c r="C75" s="46"/>
      <c r="D75" s="59"/>
      <c r="E75" s="59"/>
      <c r="F75" s="59"/>
      <c r="G75" s="73"/>
      <c r="H75" s="59"/>
      <c r="I75" s="73"/>
      <c r="J75" s="73"/>
      <c r="K75" s="73"/>
      <c r="L75" s="73"/>
      <c r="M75" s="73"/>
      <c r="N75" s="73"/>
      <c r="O75" s="73"/>
      <c r="P75" s="73"/>
      <c r="Q75" s="73"/>
      <c r="R75" s="46"/>
      <c r="S75" s="46"/>
      <c r="T75" s="46"/>
      <c r="U75" s="46"/>
      <c r="V75" s="73"/>
      <c r="W75" s="68"/>
      <c r="X75" s="46"/>
      <c r="Y75" s="46"/>
      <c r="Z75" s="46"/>
      <c r="AA75" s="46"/>
      <c r="AB75" s="46"/>
      <c r="AC75" s="46"/>
      <c r="AD75" s="46"/>
      <c r="AE75" s="46"/>
      <c r="AF75" s="46"/>
    </row>
    <row r="76" spans="2:32">
      <c r="B76" s="46"/>
      <c r="C76" s="46"/>
      <c r="D76" s="59"/>
      <c r="E76" s="59"/>
      <c r="F76" s="59"/>
      <c r="G76" s="46"/>
      <c r="H76" s="59"/>
      <c r="I76" s="46"/>
      <c r="J76" s="46"/>
      <c r="K76" s="46"/>
      <c r="L76" s="73"/>
      <c r="M76" s="73"/>
      <c r="N76" s="73"/>
      <c r="O76" s="73"/>
      <c r="P76" s="73"/>
      <c r="Q76" s="73"/>
      <c r="R76" s="46"/>
      <c r="S76" s="46"/>
      <c r="T76" s="46"/>
      <c r="U76" s="46"/>
      <c r="V76" s="46"/>
      <c r="W76" s="46"/>
      <c r="X76" s="46"/>
      <c r="Y76" s="46"/>
      <c r="Z76" s="46"/>
      <c r="AA76" s="46"/>
      <c r="AB76" s="46"/>
      <c r="AC76" s="46"/>
      <c r="AD76" s="46"/>
      <c r="AE76" s="46"/>
      <c r="AF76" s="46"/>
    </row>
    <row r="77" spans="2:32">
      <c r="B77" s="73"/>
      <c r="C77" s="73"/>
      <c r="D77" s="59"/>
      <c r="E77" s="59"/>
      <c r="F77" s="59"/>
      <c r="G77" s="73"/>
      <c r="H77" s="59"/>
      <c r="I77" s="73"/>
      <c r="J77" s="59"/>
      <c r="K77" s="73"/>
      <c r="L77" s="73"/>
      <c r="M77" s="73"/>
      <c r="N77" s="73"/>
      <c r="O77" s="73"/>
      <c r="P77" s="73"/>
      <c r="Q77" s="73"/>
      <c r="R77" s="73"/>
      <c r="S77" s="73"/>
      <c r="T77" s="73"/>
      <c r="U77" s="73"/>
      <c r="V77" s="73"/>
      <c r="W77" s="73"/>
      <c r="X77" s="46"/>
      <c r="Y77" s="46"/>
      <c r="Z77" s="46"/>
      <c r="AA77" s="46"/>
      <c r="AB77" s="46"/>
      <c r="AC77" s="46"/>
      <c r="AD77" s="46"/>
      <c r="AE77" s="46"/>
      <c r="AF77" s="46"/>
    </row>
    <row r="78" spans="2:32">
      <c r="B78" s="73"/>
      <c r="C78" s="73"/>
      <c r="D78" s="73"/>
      <c r="E78" s="73"/>
      <c r="F78" s="73"/>
      <c r="G78" s="73"/>
      <c r="H78" s="73"/>
      <c r="I78" s="73"/>
      <c r="J78" s="73"/>
      <c r="K78" s="73"/>
      <c r="L78" s="73"/>
      <c r="M78" s="73"/>
      <c r="N78" s="73"/>
      <c r="O78" s="73"/>
      <c r="P78" s="73"/>
      <c r="Q78" s="73"/>
      <c r="R78" s="73"/>
      <c r="S78" s="73"/>
      <c r="T78" s="73"/>
      <c r="U78" s="73"/>
      <c r="V78" s="73"/>
      <c r="W78" s="73"/>
      <c r="X78" s="46"/>
      <c r="Y78" s="46"/>
      <c r="Z78" s="46"/>
      <c r="AA78" s="46"/>
      <c r="AB78" s="46"/>
      <c r="AC78" s="46"/>
      <c r="AD78" s="46"/>
      <c r="AE78" s="46"/>
      <c r="AF78" s="46"/>
    </row>
    <row r="79" spans="2:32">
      <c r="B79" s="82"/>
      <c r="C79" s="73"/>
      <c r="D79" s="73"/>
      <c r="E79" s="73"/>
      <c r="F79" s="73"/>
      <c r="G79" s="73"/>
      <c r="H79" s="73"/>
      <c r="I79" s="73"/>
      <c r="J79" s="73"/>
      <c r="K79" s="73"/>
      <c r="L79" s="73"/>
      <c r="M79" s="73"/>
      <c r="N79" s="73"/>
      <c r="O79" s="73"/>
      <c r="P79" s="73"/>
      <c r="Q79" s="73"/>
      <c r="R79" s="73"/>
      <c r="S79" s="73"/>
      <c r="T79" s="73"/>
      <c r="U79" s="73"/>
      <c r="V79" s="73"/>
      <c r="W79" s="73"/>
      <c r="X79" s="46"/>
      <c r="Y79" s="46"/>
      <c r="Z79" s="46"/>
      <c r="AA79" s="46"/>
      <c r="AB79" s="46"/>
      <c r="AC79" s="46"/>
      <c r="AD79" s="46"/>
      <c r="AE79" s="46"/>
      <c r="AF79" s="46"/>
    </row>
    <row r="80" spans="2:32">
      <c r="B80" s="78"/>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row>
    <row r="81" spans="2:32">
      <c r="B81" s="40"/>
      <c r="C81" s="46"/>
      <c r="D81" s="83"/>
      <c r="E81" s="46"/>
      <c r="F81" s="46"/>
      <c r="G81" s="46"/>
      <c r="H81" s="46"/>
      <c r="I81" s="46"/>
      <c r="J81" s="83"/>
      <c r="K81" s="46"/>
      <c r="L81" s="84"/>
      <c r="M81" s="84"/>
      <c r="N81" s="84"/>
      <c r="O81" s="84"/>
      <c r="P81" s="84"/>
      <c r="Q81" s="84"/>
      <c r="R81" s="46"/>
      <c r="S81" s="46"/>
      <c r="T81" s="46"/>
      <c r="U81" s="46"/>
      <c r="V81" s="84"/>
      <c r="W81" s="46"/>
      <c r="X81" s="46"/>
      <c r="Y81" s="46"/>
      <c r="Z81" s="46"/>
      <c r="AA81" s="46"/>
      <c r="AB81" s="46"/>
      <c r="AC81" s="46"/>
      <c r="AD81" s="46"/>
      <c r="AE81" s="46"/>
      <c r="AF81" s="46"/>
    </row>
    <row r="82" spans="2:32">
      <c r="B82" s="40"/>
      <c r="C82" s="46"/>
      <c r="D82" s="85"/>
      <c r="E82" s="46"/>
      <c r="F82" s="46"/>
      <c r="G82" s="46"/>
      <c r="H82" s="46"/>
      <c r="I82" s="46"/>
      <c r="J82" s="85"/>
      <c r="K82" s="46"/>
      <c r="L82" s="86"/>
      <c r="M82" s="86"/>
      <c r="N82" s="86"/>
      <c r="O82" s="86"/>
      <c r="P82" s="86"/>
      <c r="Q82" s="86"/>
      <c r="R82" s="46"/>
      <c r="S82" s="46"/>
      <c r="T82" s="46"/>
      <c r="U82" s="46"/>
      <c r="V82" s="86"/>
      <c r="W82" s="46"/>
      <c r="X82" s="46"/>
      <c r="Y82" s="46"/>
      <c r="Z82" s="46"/>
      <c r="AA82" s="46"/>
      <c r="AB82" s="46"/>
      <c r="AC82" s="46"/>
      <c r="AD82" s="46"/>
      <c r="AE82" s="46"/>
      <c r="AF82" s="46"/>
    </row>
    <row r="83" spans="2:32">
      <c r="B83" s="40"/>
      <c r="C83" s="46"/>
      <c r="D83" s="85"/>
      <c r="E83" s="46"/>
      <c r="F83" s="46"/>
      <c r="G83" s="46"/>
      <c r="H83" s="46"/>
      <c r="I83" s="46"/>
      <c r="J83" s="85"/>
      <c r="K83" s="46"/>
      <c r="L83" s="86"/>
      <c r="M83" s="86"/>
      <c r="N83" s="86"/>
      <c r="O83" s="86"/>
      <c r="P83" s="86"/>
      <c r="Q83" s="86"/>
      <c r="R83" s="46"/>
      <c r="S83" s="46"/>
      <c r="T83" s="46"/>
      <c r="U83" s="46"/>
      <c r="V83" s="86"/>
      <c r="W83" s="46"/>
      <c r="X83" s="46"/>
      <c r="Y83" s="46"/>
      <c r="Z83" s="46"/>
      <c r="AA83" s="46"/>
      <c r="AB83" s="46"/>
      <c r="AC83" s="46"/>
      <c r="AD83" s="46"/>
      <c r="AE83" s="46"/>
      <c r="AF83" s="46"/>
    </row>
    <row r="84" spans="2:32">
      <c r="B84" s="40"/>
      <c r="C84" s="46"/>
      <c r="D84" s="85"/>
      <c r="E84" s="46"/>
      <c r="F84" s="46"/>
      <c r="G84" s="46"/>
      <c r="H84" s="46"/>
      <c r="I84" s="46"/>
      <c r="J84" s="85"/>
      <c r="K84" s="46"/>
      <c r="L84" s="86"/>
      <c r="M84" s="86"/>
      <c r="N84" s="86"/>
      <c r="O84" s="86"/>
      <c r="P84" s="86"/>
      <c r="Q84" s="86"/>
      <c r="R84" s="46"/>
      <c r="S84" s="46"/>
      <c r="T84" s="46"/>
      <c r="U84" s="46"/>
      <c r="V84" s="86"/>
      <c r="W84" s="46"/>
      <c r="X84" s="46"/>
      <c r="Y84" s="46"/>
      <c r="Z84" s="46"/>
      <c r="AA84" s="46"/>
      <c r="AB84" s="46"/>
      <c r="AC84" s="46"/>
      <c r="AD84" s="46"/>
      <c r="AE84" s="46"/>
      <c r="AF84" s="46"/>
    </row>
    <row r="85" spans="2:32">
      <c r="B85" s="40"/>
      <c r="C85" s="46"/>
      <c r="D85" s="85"/>
      <c r="E85" s="46"/>
      <c r="F85" s="46"/>
      <c r="G85" s="46"/>
      <c r="H85" s="46"/>
      <c r="I85" s="46"/>
      <c r="J85" s="85"/>
      <c r="K85" s="46"/>
      <c r="L85" s="86"/>
      <c r="M85" s="86"/>
      <c r="N85" s="86"/>
      <c r="O85" s="86"/>
      <c r="P85" s="86"/>
      <c r="Q85" s="86"/>
      <c r="R85" s="46"/>
      <c r="S85" s="46"/>
      <c r="T85" s="46"/>
      <c r="U85" s="46"/>
      <c r="V85" s="86"/>
      <c r="W85" s="46"/>
      <c r="X85" s="46"/>
      <c r="Y85" s="46"/>
      <c r="Z85" s="46"/>
      <c r="AA85" s="46"/>
      <c r="AB85" s="46"/>
      <c r="AC85" s="46"/>
      <c r="AD85" s="46"/>
      <c r="AE85" s="46"/>
      <c r="AF85" s="46"/>
    </row>
    <row r="86" spans="2:32">
      <c r="B86" s="75"/>
      <c r="C86" s="46"/>
      <c r="D86" s="40"/>
      <c r="E86" s="46"/>
      <c r="F86" s="46"/>
      <c r="G86" s="46"/>
      <c r="H86" s="46"/>
      <c r="I86" s="46"/>
      <c r="J86" s="40"/>
      <c r="K86" s="46"/>
      <c r="L86" s="46"/>
      <c r="M86" s="46"/>
      <c r="N86" s="46"/>
      <c r="O86" s="46"/>
      <c r="P86" s="46"/>
      <c r="Q86" s="46"/>
      <c r="R86" s="46"/>
      <c r="S86" s="46"/>
      <c r="T86" s="46"/>
      <c r="U86" s="46"/>
      <c r="V86" s="46"/>
      <c r="W86" s="46"/>
      <c r="X86" s="46"/>
      <c r="Y86" s="46"/>
      <c r="Z86" s="46"/>
      <c r="AA86" s="46"/>
      <c r="AB86" s="46"/>
      <c r="AC86" s="46"/>
      <c r="AD86" s="46"/>
      <c r="AE86" s="46"/>
      <c r="AF86" s="46"/>
    </row>
    <row r="87" spans="2:32">
      <c r="B87" s="75"/>
      <c r="C87" s="46"/>
      <c r="D87" s="83"/>
      <c r="E87" s="46"/>
      <c r="F87" s="46"/>
      <c r="G87" s="46"/>
      <c r="H87" s="46"/>
      <c r="I87" s="46"/>
      <c r="J87" s="83"/>
      <c r="K87" s="46"/>
      <c r="L87" s="83"/>
      <c r="M87" s="83"/>
      <c r="N87" s="83"/>
      <c r="O87" s="83"/>
      <c r="P87" s="83"/>
      <c r="Q87" s="83"/>
      <c r="R87" s="46"/>
      <c r="S87" s="46"/>
      <c r="T87" s="46"/>
      <c r="U87" s="46"/>
      <c r="V87" s="83"/>
      <c r="W87" s="46"/>
      <c r="X87" s="46"/>
      <c r="Y87" s="46"/>
      <c r="Z87" s="46"/>
      <c r="AA87" s="46"/>
      <c r="AB87" s="46"/>
      <c r="AC87" s="46"/>
      <c r="AD87" s="46"/>
      <c r="AE87" s="46"/>
      <c r="AF87" s="46"/>
    </row>
    <row r="88" spans="2:32">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row>
    <row r="89" spans="2:32">
      <c r="B89" s="78"/>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row>
    <row r="90" spans="2:32">
      <c r="B90" s="43"/>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row>
    <row r="91" spans="2:32">
      <c r="B91" s="46"/>
      <c r="C91" s="46"/>
      <c r="D91" s="74"/>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row>
    <row r="92" spans="2:32">
      <c r="B92" s="46"/>
      <c r="C92" s="46"/>
      <c r="D92" s="71"/>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row>
    <row r="93" spans="2:32">
      <c r="B93" s="46"/>
      <c r="C93" s="46"/>
      <c r="D93" s="71"/>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row>
    <row r="94" spans="2:32">
      <c r="B94" s="46"/>
      <c r="C94" s="46"/>
      <c r="D94" s="87"/>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row>
    <row r="95" spans="2:32">
      <c r="B95" s="46"/>
      <c r="C95" s="46"/>
      <c r="D95" s="71"/>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row>
    <row r="96" spans="2:32">
      <c r="B96" s="46"/>
      <c r="C96" s="46"/>
      <c r="D96" s="71"/>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row>
    <row r="97" spans="2:32">
      <c r="B97" s="88"/>
      <c r="C97" s="46"/>
      <c r="D97" s="74"/>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row>
    <row r="98" spans="2:32">
      <c r="B98" s="88"/>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row>
    <row r="99" spans="2:32">
      <c r="B99" s="46"/>
      <c r="C99" s="5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row>
    <row r="100" spans="2:32">
      <c r="B100" s="89"/>
      <c r="C100" s="46"/>
      <c r="D100" s="68"/>
      <c r="E100" s="46"/>
      <c r="F100" s="68"/>
      <c r="G100" s="46"/>
      <c r="H100" s="68"/>
      <c r="I100" s="46"/>
      <c r="J100" s="68"/>
      <c r="K100" s="46"/>
      <c r="L100" s="46"/>
      <c r="M100" s="46"/>
      <c r="N100" s="46"/>
      <c r="O100" s="46"/>
      <c r="P100" s="46"/>
      <c r="Q100" s="46"/>
      <c r="R100" s="46"/>
      <c r="S100" s="46"/>
      <c r="T100" s="46"/>
      <c r="U100" s="46"/>
      <c r="V100" s="46"/>
      <c r="W100" s="46"/>
      <c r="X100" s="46"/>
      <c r="Y100" s="46"/>
      <c r="Z100" s="46"/>
      <c r="AA100" s="46"/>
      <c r="AB100" s="46"/>
      <c r="AC100" s="46"/>
      <c r="AD100" s="46"/>
      <c r="AE100" s="46"/>
      <c r="AF100" s="46"/>
    </row>
    <row r="101" spans="2:32">
      <c r="B101" s="46"/>
      <c r="C101" s="46"/>
      <c r="D101" s="68"/>
      <c r="E101" s="46"/>
      <c r="F101" s="68"/>
      <c r="G101" s="46"/>
      <c r="H101" s="68"/>
      <c r="I101" s="46"/>
      <c r="J101" s="68"/>
      <c r="K101" s="46"/>
      <c r="L101" s="46"/>
      <c r="M101" s="46"/>
      <c r="N101" s="46"/>
      <c r="O101" s="46"/>
      <c r="P101" s="46"/>
      <c r="Q101" s="46"/>
      <c r="R101" s="46"/>
      <c r="S101" s="46"/>
      <c r="T101" s="46"/>
      <c r="U101" s="46"/>
      <c r="V101" s="46"/>
      <c r="W101" s="46"/>
      <c r="X101" s="46"/>
      <c r="Y101" s="46"/>
      <c r="Z101" s="46"/>
      <c r="AA101" s="46"/>
      <c r="AB101" s="46"/>
      <c r="AC101" s="46"/>
      <c r="AD101" s="46"/>
      <c r="AE101" s="46"/>
      <c r="AF101" s="46"/>
    </row>
    <row r="102" spans="2:32">
      <c r="B102" s="46"/>
      <c r="C102" s="46"/>
      <c r="D102" s="74"/>
      <c r="E102" s="46"/>
      <c r="F102" s="75"/>
      <c r="G102" s="46"/>
      <c r="H102" s="75"/>
      <c r="I102" s="46"/>
      <c r="J102" s="90"/>
      <c r="K102" s="46"/>
      <c r="L102" s="46"/>
      <c r="M102" s="46"/>
      <c r="N102" s="46"/>
      <c r="O102" s="46"/>
      <c r="P102" s="46"/>
      <c r="Q102" s="46"/>
      <c r="R102" s="46"/>
      <c r="S102" s="46"/>
      <c r="T102" s="46"/>
      <c r="U102" s="46"/>
      <c r="V102" s="46"/>
      <c r="W102" s="46"/>
      <c r="X102" s="46"/>
      <c r="Y102" s="46"/>
      <c r="Z102" s="46"/>
      <c r="AA102" s="46"/>
      <c r="AB102" s="46"/>
      <c r="AC102" s="46"/>
      <c r="AD102" s="46"/>
      <c r="AE102" s="46"/>
      <c r="AF102" s="46"/>
    </row>
    <row r="103" spans="2:32">
      <c r="B103" s="46"/>
      <c r="C103" s="46"/>
      <c r="D103" s="74"/>
      <c r="E103" s="46"/>
      <c r="F103" s="75"/>
      <c r="G103" s="46"/>
      <c r="H103" s="75"/>
      <c r="I103" s="46"/>
      <c r="J103" s="75"/>
      <c r="K103" s="46"/>
      <c r="L103" s="46"/>
      <c r="M103" s="46"/>
      <c r="N103" s="46"/>
      <c r="O103" s="46"/>
      <c r="P103" s="46"/>
      <c r="Q103" s="46"/>
      <c r="R103" s="46"/>
      <c r="S103" s="46"/>
      <c r="T103" s="46"/>
      <c r="U103" s="46"/>
      <c r="V103" s="46"/>
      <c r="W103" s="46"/>
      <c r="X103" s="46"/>
      <c r="Y103" s="46"/>
      <c r="Z103" s="46"/>
      <c r="AA103" s="46"/>
      <c r="AB103" s="46"/>
      <c r="AC103" s="46"/>
      <c r="AD103" s="46"/>
      <c r="AE103" s="46"/>
      <c r="AF103" s="46"/>
    </row>
    <row r="104" spans="2:32">
      <c r="B104" s="46"/>
      <c r="C104" s="46"/>
      <c r="D104" s="74"/>
      <c r="E104" s="46"/>
      <c r="F104" s="75"/>
      <c r="G104" s="46"/>
      <c r="H104" s="75"/>
      <c r="I104" s="46"/>
      <c r="J104" s="75"/>
      <c r="K104" s="46"/>
      <c r="L104" s="46"/>
      <c r="M104" s="46"/>
      <c r="N104" s="46"/>
      <c r="O104" s="46"/>
      <c r="P104" s="46"/>
      <c r="Q104" s="46"/>
      <c r="R104" s="46"/>
      <c r="S104" s="46"/>
      <c r="T104" s="46"/>
      <c r="U104" s="46"/>
      <c r="V104" s="46"/>
      <c r="W104" s="46"/>
      <c r="X104" s="46"/>
      <c r="Y104" s="46"/>
      <c r="Z104" s="46"/>
      <c r="AA104" s="46"/>
      <c r="AB104" s="46"/>
      <c r="AC104" s="46"/>
      <c r="AD104" s="46"/>
      <c r="AE104" s="46"/>
      <c r="AF104" s="46"/>
    </row>
    <row r="105" spans="2:32">
      <c r="B105" s="46"/>
      <c r="C105" s="46"/>
      <c r="D105" s="74"/>
      <c r="E105" s="46"/>
      <c r="F105" s="75"/>
      <c r="G105" s="46"/>
      <c r="H105" s="75"/>
      <c r="I105" s="46"/>
      <c r="J105" s="75"/>
      <c r="K105" s="46"/>
      <c r="L105" s="46"/>
      <c r="M105" s="46"/>
      <c r="N105" s="46"/>
      <c r="O105" s="46"/>
      <c r="P105" s="46"/>
      <c r="Q105" s="46"/>
      <c r="R105" s="46"/>
      <c r="S105" s="46"/>
      <c r="T105" s="46"/>
      <c r="U105" s="46"/>
      <c r="V105" s="46"/>
      <c r="W105" s="46"/>
      <c r="X105" s="46"/>
      <c r="Y105" s="46"/>
      <c r="Z105" s="46"/>
      <c r="AA105" s="46"/>
      <c r="AB105" s="46"/>
      <c r="AC105" s="46"/>
      <c r="AD105" s="46"/>
      <c r="AE105" s="46"/>
      <c r="AF105" s="46"/>
    </row>
    <row r="106" spans="2:32">
      <c r="B106" s="46"/>
      <c r="C106" s="46"/>
      <c r="D106" s="74"/>
      <c r="E106" s="46"/>
      <c r="F106" s="75"/>
      <c r="G106" s="46"/>
      <c r="H106" s="75"/>
      <c r="I106" s="46"/>
      <c r="J106" s="75"/>
      <c r="K106" s="46"/>
      <c r="L106" s="46"/>
      <c r="M106" s="46"/>
      <c r="N106" s="46"/>
      <c r="O106" s="46"/>
      <c r="P106" s="46"/>
      <c r="Q106" s="46"/>
      <c r="R106" s="46"/>
      <c r="S106" s="46"/>
      <c r="T106" s="46"/>
      <c r="U106" s="46"/>
      <c r="V106" s="46"/>
      <c r="W106" s="46"/>
      <c r="X106" s="46"/>
      <c r="Y106" s="46"/>
      <c r="Z106" s="46"/>
      <c r="AA106" s="46"/>
      <c r="AB106" s="46"/>
      <c r="AC106" s="46"/>
      <c r="AD106" s="46"/>
      <c r="AE106" s="46"/>
      <c r="AF106" s="46"/>
    </row>
    <row r="107" spans="2:32">
      <c r="B107" s="46"/>
      <c r="C107" s="46"/>
      <c r="D107" s="74"/>
      <c r="E107" s="46"/>
      <c r="F107" s="75"/>
      <c r="G107" s="46"/>
      <c r="H107" s="75"/>
      <c r="I107" s="46"/>
      <c r="J107" s="75"/>
      <c r="K107" s="46"/>
      <c r="L107" s="46"/>
      <c r="M107" s="46"/>
      <c r="N107" s="46"/>
      <c r="O107" s="46"/>
      <c r="P107" s="46"/>
      <c r="Q107" s="46"/>
      <c r="R107" s="46"/>
      <c r="S107" s="46"/>
      <c r="T107" s="46"/>
      <c r="U107" s="46"/>
      <c r="V107" s="46"/>
      <c r="W107" s="46"/>
      <c r="X107" s="46"/>
      <c r="Y107" s="46"/>
      <c r="Z107" s="46"/>
      <c r="AA107" s="46"/>
      <c r="AB107" s="46"/>
      <c r="AC107" s="46"/>
      <c r="AD107" s="46"/>
      <c r="AE107" s="46"/>
      <c r="AF107" s="46"/>
    </row>
    <row r="108" spans="2:32">
      <c r="B108" s="46"/>
      <c r="C108" s="46"/>
      <c r="D108" s="74"/>
      <c r="E108" s="46"/>
      <c r="F108" s="75"/>
      <c r="G108" s="46"/>
      <c r="H108" s="75"/>
      <c r="I108" s="46"/>
      <c r="J108" s="75"/>
      <c r="K108" s="46"/>
      <c r="L108" s="46"/>
      <c r="M108" s="46"/>
      <c r="N108" s="46"/>
      <c r="O108" s="46"/>
      <c r="P108" s="46"/>
      <c r="Q108" s="46"/>
      <c r="R108" s="46"/>
      <c r="S108" s="46"/>
      <c r="T108" s="46"/>
      <c r="U108" s="46"/>
      <c r="V108" s="46"/>
      <c r="W108" s="46"/>
      <c r="X108" s="46"/>
      <c r="Y108" s="46"/>
      <c r="Z108" s="46"/>
      <c r="AA108" s="46"/>
      <c r="AB108" s="46"/>
      <c r="AC108" s="46"/>
      <c r="AD108" s="46"/>
      <c r="AE108" s="46"/>
      <c r="AF108" s="46"/>
    </row>
    <row r="109" spans="2:32">
      <c r="B109" s="40"/>
      <c r="C109" s="40"/>
      <c r="D109" s="40"/>
      <c r="E109" s="40"/>
      <c r="F109" s="40"/>
      <c r="G109" s="40"/>
      <c r="H109" s="40"/>
      <c r="I109" s="40"/>
      <c r="J109" s="40"/>
      <c r="K109" s="40"/>
      <c r="L109" s="40"/>
      <c r="M109" s="40"/>
      <c r="N109" s="40"/>
      <c r="O109" s="40"/>
      <c r="P109" s="40"/>
      <c r="Q109" s="40"/>
      <c r="R109" s="40"/>
      <c r="S109" s="40"/>
      <c r="T109" s="40"/>
      <c r="U109" s="40"/>
      <c r="V109" s="40"/>
      <c r="X109" s="40"/>
      <c r="Y109" s="40"/>
      <c r="Z109" s="40"/>
      <c r="AA109" s="40"/>
      <c r="AB109" s="40"/>
      <c r="AC109" s="40"/>
      <c r="AD109" s="40"/>
      <c r="AE109" s="40"/>
      <c r="AF109" s="40"/>
    </row>
    <row r="110" spans="2:32">
      <c r="B110" s="46"/>
      <c r="C110" s="40"/>
      <c r="D110" s="40"/>
      <c r="E110" s="40"/>
      <c r="F110" s="40"/>
      <c r="G110" s="40"/>
      <c r="H110" s="40"/>
      <c r="I110" s="40"/>
      <c r="J110" s="40"/>
      <c r="K110" s="40"/>
      <c r="L110" s="40"/>
      <c r="M110" s="40"/>
      <c r="N110" s="40"/>
      <c r="O110" s="40"/>
      <c r="P110" s="40"/>
      <c r="Q110" s="40"/>
      <c r="R110" s="40"/>
      <c r="S110" s="40"/>
      <c r="T110" s="40"/>
      <c r="U110" s="40"/>
      <c r="V110" s="40"/>
      <c r="X110" s="40"/>
      <c r="Y110" s="40"/>
      <c r="Z110" s="40"/>
      <c r="AA110" s="40"/>
      <c r="AB110" s="40"/>
      <c r="AC110" s="40"/>
      <c r="AD110" s="40"/>
      <c r="AE110" s="40"/>
      <c r="AF110" s="40"/>
    </row>
    <row r="111" spans="2:32">
      <c r="B111" s="40"/>
      <c r="C111" s="40"/>
      <c r="D111" s="40"/>
      <c r="E111" s="40"/>
      <c r="F111" s="40"/>
      <c r="G111" s="40"/>
      <c r="H111" s="40"/>
      <c r="I111" s="40"/>
      <c r="J111" s="40"/>
      <c r="K111" s="40"/>
      <c r="L111" s="40"/>
      <c r="M111" s="40"/>
      <c r="N111" s="40"/>
      <c r="O111" s="40"/>
      <c r="P111" s="40"/>
      <c r="Q111" s="40"/>
      <c r="R111" s="40"/>
      <c r="S111" s="40"/>
      <c r="T111" s="40"/>
      <c r="U111" s="40"/>
      <c r="V111" s="40"/>
      <c r="X111" s="40"/>
      <c r="Y111" s="40"/>
      <c r="Z111" s="40"/>
      <c r="AA111" s="40"/>
      <c r="AB111" s="40"/>
      <c r="AC111" s="40"/>
      <c r="AD111" s="40"/>
      <c r="AE111" s="40"/>
      <c r="AF111" s="40"/>
    </row>
    <row r="112" spans="2:32">
      <c r="B112" s="40"/>
      <c r="C112" s="40"/>
      <c r="D112" s="40"/>
      <c r="E112" s="40"/>
      <c r="F112" s="40"/>
      <c r="G112" s="40"/>
      <c r="H112" s="40"/>
      <c r="I112" s="40"/>
      <c r="J112" s="40"/>
      <c r="K112" s="40"/>
      <c r="L112" s="40"/>
      <c r="M112" s="40"/>
      <c r="N112" s="40"/>
      <c r="O112" s="40"/>
      <c r="P112" s="40"/>
      <c r="Q112" s="40"/>
      <c r="R112" s="40"/>
      <c r="S112" s="40"/>
      <c r="T112" s="40"/>
      <c r="U112" s="40"/>
      <c r="V112" s="40"/>
      <c r="X112" s="40"/>
      <c r="Y112" s="40"/>
      <c r="Z112" s="40"/>
      <c r="AA112" s="40"/>
      <c r="AB112" s="40"/>
      <c r="AC112" s="40"/>
      <c r="AD112" s="40"/>
      <c r="AE112" s="40"/>
      <c r="AF112" s="40"/>
    </row>
    <row r="113" spans="2:32">
      <c r="B113" s="40"/>
      <c r="C113" s="40"/>
      <c r="D113" s="40"/>
      <c r="E113" s="40"/>
      <c r="F113" s="40"/>
      <c r="G113" s="40"/>
      <c r="H113" s="40"/>
      <c r="I113" s="40"/>
      <c r="J113" s="40"/>
      <c r="K113" s="40"/>
      <c r="L113" s="40"/>
      <c r="M113" s="40"/>
      <c r="N113" s="40"/>
      <c r="O113" s="40"/>
      <c r="P113" s="40"/>
      <c r="Q113" s="40"/>
      <c r="R113" s="40"/>
      <c r="S113" s="40"/>
      <c r="T113" s="40"/>
      <c r="U113" s="40"/>
      <c r="V113" s="40"/>
      <c r="X113" s="40"/>
      <c r="Y113" s="40"/>
      <c r="Z113" s="40"/>
      <c r="AA113" s="40"/>
      <c r="AB113" s="40"/>
      <c r="AC113" s="40"/>
      <c r="AD113" s="40"/>
      <c r="AE113" s="40"/>
      <c r="AF113" s="40"/>
    </row>
    <row r="114" spans="2:32">
      <c r="B114" s="40"/>
      <c r="C114" s="40"/>
      <c r="D114" s="40"/>
      <c r="E114" s="40"/>
      <c r="F114" s="40"/>
      <c r="G114" s="40"/>
      <c r="H114" s="40"/>
      <c r="I114" s="40"/>
      <c r="J114" s="40"/>
      <c r="K114" s="40"/>
      <c r="L114" s="40"/>
      <c r="M114" s="40"/>
      <c r="N114" s="40"/>
      <c r="O114" s="40"/>
      <c r="P114" s="40"/>
      <c r="Q114" s="40"/>
      <c r="R114" s="40"/>
      <c r="S114" s="40"/>
      <c r="T114" s="40"/>
      <c r="U114" s="40"/>
      <c r="V114" s="40"/>
      <c r="X114" s="40"/>
      <c r="Y114" s="40"/>
      <c r="Z114" s="40"/>
      <c r="AA114" s="40"/>
      <c r="AB114" s="40"/>
      <c r="AC114" s="40"/>
      <c r="AD114" s="40"/>
      <c r="AE114" s="40"/>
      <c r="AF114" s="40"/>
    </row>
    <row r="115" spans="2:32">
      <c r="B115" s="40"/>
      <c r="C115" s="40"/>
      <c r="D115" s="40"/>
      <c r="E115" s="40"/>
      <c r="F115" s="40"/>
      <c r="G115" s="40"/>
      <c r="H115" s="40"/>
      <c r="I115" s="40"/>
      <c r="J115" s="40"/>
      <c r="K115" s="40"/>
      <c r="L115" s="40"/>
      <c r="M115" s="40"/>
      <c r="N115" s="40"/>
      <c r="O115" s="40"/>
      <c r="P115" s="40"/>
      <c r="Q115" s="40"/>
      <c r="R115" s="40"/>
      <c r="S115" s="40"/>
      <c r="T115" s="40"/>
      <c r="U115" s="40"/>
      <c r="V115" s="40"/>
      <c r="X115" s="40"/>
      <c r="Y115" s="40"/>
      <c r="Z115" s="40"/>
      <c r="AA115" s="40"/>
      <c r="AB115" s="40"/>
      <c r="AC115" s="40"/>
      <c r="AD115" s="40"/>
      <c r="AE115" s="40"/>
      <c r="AF115" s="40"/>
    </row>
    <row r="116" spans="2:32">
      <c r="B116" s="40"/>
      <c r="C116" s="40"/>
      <c r="D116" s="40"/>
      <c r="E116" s="40"/>
      <c r="F116" s="40"/>
      <c r="G116" s="40"/>
      <c r="H116" s="40"/>
      <c r="I116" s="40"/>
      <c r="J116" s="40"/>
      <c r="K116" s="40"/>
      <c r="L116" s="40"/>
      <c r="M116" s="40"/>
      <c r="N116" s="40"/>
      <c r="O116" s="40"/>
      <c r="P116" s="40"/>
      <c r="Q116" s="40"/>
      <c r="R116" s="40"/>
      <c r="S116" s="40"/>
      <c r="T116" s="40"/>
      <c r="U116" s="40"/>
      <c r="V116" s="40"/>
      <c r="X116" s="40"/>
      <c r="Y116" s="40"/>
      <c r="Z116" s="40"/>
      <c r="AA116" s="40"/>
      <c r="AB116" s="40"/>
      <c r="AC116" s="40"/>
      <c r="AD116" s="40"/>
      <c r="AE116" s="40"/>
      <c r="AF116" s="40"/>
    </row>
    <row r="117" spans="2:32">
      <c r="B117" s="40"/>
      <c r="C117" s="40"/>
      <c r="D117" s="40"/>
      <c r="E117" s="40"/>
      <c r="F117" s="40"/>
      <c r="G117" s="40"/>
      <c r="H117" s="40"/>
      <c r="I117" s="40"/>
      <c r="J117" s="40"/>
      <c r="K117" s="40"/>
      <c r="L117" s="40"/>
      <c r="M117" s="40"/>
      <c r="N117" s="40"/>
      <c r="O117" s="40"/>
      <c r="P117" s="40"/>
      <c r="Q117" s="40"/>
      <c r="R117" s="40"/>
      <c r="S117" s="40"/>
      <c r="T117" s="40"/>
      <c r="U117" s="40"/>
      <c r="V117" s="40"/>
      <c r="X117" s="40"/>
      <c r="Y117" s="40"/>
      <c r="Z117" s="40"/>
      <c r="AA117" s="40"/>
      <c r="AB117" s="40"/>
      <c r="AC117" s="40"/>
      <c r="AD117" s="40"/>
      <c r="AE117" s="40"/>
      <c r="AF117" s="40"/>
    </row>
    <row r="118" spans="2:32">
      <c r="B118" s="40"/>
      <c r="C118" s="40"/>
      <c r="D118" s="40"/>
      <c r="E118" s="40"/>
      <c r="F118" s="40"/>
      <c r="G118" s="40"/>
      <c r="H118" s="40"/>
      <c r="I118" s="40"/>
      <c r="J118" s="40"/>
      <c r="K118" s="40"/>
      <c r="L118" s="40"/>
      <c r="M118" s="40"/>
      <c r="N118" s="40"/>
      <c r="O118" s="40"/>
      <c r="P118" s="40"/>
      <c r="Q118" s="40"/>
      <c r="R118" s="40"/>
      <c r="S118" s="40"/>
      <c r="T118" s="40"/>
      <c r="U118" s="40"/>
      <c r="V118" s="40"/>
      <c r="X118" s="40"/>
      <c r="Y118" s="40"/>
      <c r="Z118" s="40"/>
      <c r="AA118" s="40"/>
      <c r="AB118" s="40"/>
      <c r="AC118" s="40"/>
      <c r="AD118" s="40"/>
      <c r="AE118" s="40"/>
      <c r="AF118" s="40"/>
    </row>
    <row r="119" spans="2:32">
      <c r="B119" s="40"/>
      <c r="C119" s="40"/>
      <c r="D119" s="40"/>
      <c r="E119" s="40"/>
      <c r="F119" s="40"/>
      <c r="G119" s="40"/>
      <c r="H119" s="40"/>
      <c r="I119" s="40"/>
      <c r="J119" s="40"/>
      <c r="K119" s="40"/>
      <c r="L119" s="40"/>
      <c r="M119" s="40"/>
      <c r="N119" s="40"/>
      <c r="O119" s="40"/>
      <c r="P119" s="40"/>
      <c r="Q119" s="40"/>
      <c r="R119" s="40"/>
      <c r="S119" s="40"/>
      <c r="T119" s="40"/>
      <c r="U119" s="40"/>
      <c r="V119" s="40"/>
      <c r="X119" s="40"/>
      <c r="Y119" s="40"/>
      <c r="Z119" s="40"/>
      <c r="AA119" s="40"/>
      <c r="AB119" s="40"/>
      <c r="AC119" s="40"/>
      <c r="AD119" s="40"/>
      <c r="AE119" s="40"/>
      <c r="AF119" s="40"/>
    </row>
    <row r="120" spans="2:32">
      <c r="B120" s="40"/>
      <c r="C120" s="40"/>
      <c r="D120" s="40"/>
      <c r="E120" s="40"/>
      <c r="F120" s="40"/>
      <c r="G120" s="40"/>
      <c r="H120" s="40"/>
      <c r="I120" s="40"/>
      <c r="J120" s="40"/>
      <c r="K120" s="40"/>
      <c r="L120" s="40"/>
      <c r="M120" s="40"/>
      <c r="N120" s="40"/>
      <c r="O120" s="40"/>
      <c r="P120" s="40"/>
      <c r="Q120" s="40"/>
      <c r="R120" s="40"/>
      <c r="S120" s="40"/>
      <c r="T120" s="40"/>
      <c r="U120" s="40"/>
      <c r="V120" s="40"/>
      <c r="X120" s="40"/>
      <c r="Y120" s="40"/>
      <c r="Z120" s="40"/>
      <c r="AA120" s="40"/>
      <c r="AB120" s="40"/>
      <c r="AC120" s="40"/>
      <c r="AD120" s="40"/>
      <c r="AE120" s="40"/>
      <c r="AF120" s="40"/>
    </row>
    <row r="121" spans="2:32">
      <c r="B121" s="40"/>
      <c r="C121" s="40"/>
      <c r="D121" s="40"/>
      <c r="E121" s="40"/>
      <c r="F121" s="40"/>
      <c r="G121" s="40"/>
      <c r="H121" s="40"/>
      <c r="I121" s="40"/>
      <c r="J121" s="40"/>
      <c r="K121" s="40"/>
      <c r="L121" s="40"/>
      <c r="M121" s="40"/>
      <c r="N121" s="40"/>
      <c r="O121" s="40"/>
      <c r="P121" s="40"/>
      <c r="Q121" s="40"/>
      <c r="R121" s="40"/>
      <c r="S121" s="40"/>
      <c r="T121" s="40"/>
      <c r="U121" s="40"/>
      <c r="V121" s="40"/>
      <c r="X121" s="40"/>
      <c r="Y121" s="40"/>
      <c r="Z121" s="40"/>
      <c r="AA121" s="40"/>
      <c r="AB121" s="40"/>
      <c r="AC121" s="40"/>
      <c r="AD121" s="40"/>
      <c r="AE121" s="40"/>
      <c r="AF121" s="40"/>
    </row>
  </sheetData>
  <mergeCells count="3">
    <mergeCell ref="AQ7:AR7"/>
    <mergeCell ref="A1:U1"/>
    <mergeCell ref="A2:U2"/>
  </mergeCells>
  <phoneticPr fontId="26" type="noConversion"/>
  <printOptions horizontalCentered="1"/>
  <pageMargins left="0.75" right="0.75" top="0.76" bottom="1" header="0.48" footer="0.5"/>
  <pageSetup scale="54" orientation="landscape" r:id="rId1"/>
  <headerFooter alignWithMargins="0">
    <oddHeader>&amp;C&amp;"Times New Roman,Bold"&amp;16ATTACHMENT D, Page &amp;P of &amp;N
EVERGY</oddHeader>
    <oddFooter>&amp;R&amp;1#&amp;"Calibri"&amp;10&amp;KA80000Internal Use Only</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7">
    <pageSetUpPr fitToPage="1"/>
  </sheetPr>
  <dimension ref="A1:AB58"/>
  <sheetViews>
    <sheetView view="pageBreakPreview" zoomScale="90" zoomScaleNormal="75" zoomScaleSheetLayoutView="90" workbookViewId="0">
      <selection sqref="A1:AB1"/>
    </sheetView>
  </sheetViews>
  <sheetFormatPr defaultRowHeight="13.2"/>
  <cols>
    <col min="1" max="1" width="4.109375" style="40" customWidth="1"/>
    <col min="2" max="2" width="54.33203125" customWidth="1"/>
    <col min="3" max="3" width="14.88671875" customWidth="1"/>
    <col min="4" max="4" width="12.33203125" customWidth="1"/>
    <col min="5" max="5" width="0.88671875" customWidth="1"/>
    <col min="6" max="6" width="11.5546875" customWidth="1"/>
    <col min="7" max="7" width="0.88671875" customWidth="1"/>
    <col min="8" max="8" width="18.109375" bestFit="1" customWidth="1"/>
    <col min="9" max="9" width="0.88671875" customWidth="1"/>
    <col min="10" max="10" width="15.5546875" bestFit="1" customWidth="1"/>
    <col min="11" max="11" width="0.88671875" customWidth="1"/>
    <col min="12" max="12" width="14.109375" bestFit="1" customWidth="1"/>
    <col min="13" max="13" width="0.88671875" customWidth="1"/>
    <col min="14" max="14" width="15.6640625" customWidth="1"/>
    <col min="15" max="15" width="0.88671875" customWidth="1"/>
    <col min="16" max="16" width="15.109375" bestFit="1" customWidth="1"/>
    <col min="17" max="17" width="0.88671875" customWidth="1"/>
    <col min="18" max="18" width="8.44140625" customWidth="1"/>
    <col min="19" max="19" width="0.88671875" customWidth="1"/>
    <col min="20" max="20" width="15.44140625" customWidth="1"/>
    <col min="21" max="21" width="0.88671875" customWidth="1"/>
    <col min="22" max="22" width="18.33203125" bestFit="1" customWidth="1"/>
    <col min="23" max="23" width="0.88671875" customWidth="1"/>
    <col min="24" max="24" width="14" customWidth="1"/>
    <col min="25" max="25" width="0.88671875" customWidth="1"/>
    <col min="26" max="26" width="16.44140625" bestFit="1" customWidth="1"/>
    <col min="27" max="27" width="0.5546875" customWidth="1"/>
    <col min="28" max="28" width="17.6640625" style="40" bestFit="1" customWidth="1"/>
  </cols>
  <sheetData>
    <row r="1" spans="1:28" s="40" customFormat="1" ht="21">
      <c r="A1" s="1713" t="str">
        <f>'Wrksht. U, LTD Cost 1'!A1:U1</f>
        <v>WORKSHEET U, LTD COST</v>
      </c>
      <c r="B1" s="1790"/>
      <c r="C1" s="1790"/>
      <c r="D1" s="1790"/>
      <c r="E1" s="1790"/>
      <c r="F1" s="1790"/>
      <c r="G1" s="1790"/>
      <c r="H1" s="1790"/>
      <c r="I1" s="1790"/>
      <c r="J1" s="1790"/>
      <c r="K1" s="1790"/>
      <c r="L1" s="1790"/>
      <c r="M1" s="1790"/>
      <c r="N1" s="1790"/>
      <c r="O1" s="1790"/>
      <c r="P1" s="1790"/>
      <c r="Q1" s="1790"/>
      <c r="R1" s="1790"/>
      <c r="S1" s="1790"/>
      <c r="T1" s="1790"/>
      <c r="U1" s="1790"/>
      <c r="V1" s="1790"/>
      <c r="W1" s="1790"/>
      <c r="X1" s="1790"/>
      <c r="Y1" s="1790"/>
      <c r="Z1" s="1790"/>
      <c r="AA1" s="1790"/>
      <c r="AB1" s="1790"/>
    </row>
    <row r="2" spans="1:28" s="40" customFormat="1" ht="19.2">
      <c r="A2" s="1725" t="str">
        <f>' Net Monthly Bill'!A2:B2</f>
        <v>For Contract Year Beginning June 1, 2024, Based on 2023 Data</v>
      </c>
      <c r="B2" s="1726"/>
      <c r="C2" s="1726"/>
      <c r="D2" s="1726"/>
      <c r="E2" s="1726"/>
      <c r="F2" s="1726"/>
      <c r="G2" s="1726"/>
      <c r="H2" s="1726"/>
      <c r="I2" s="1726"/>
      <c r="J2" s="1726"/>
      <c r="K2" s="1726"/>
      <c r="L2" s="1726"/>
      <c r="M2" s="1726"/>
      <c r="N2" s="1726"/>
      <c r="O2" s="1726"/>
      <c r="P2" s="1726"/>
      <c r="Q2" s="1726"/>
      <c r="R2" s="1726"/>
      <c r="S2" s="1726"/>
      <c r="T2" s="1726"/>
      <c r="U2" s="1726"/>
      <c r="V2" s="1726"/>
      <c r="W2" s="1726"/>
      <c r="X2" s="1726"/>
      <c r="Y2" s="1726"/>
      <c r="Z2" s="1726"/>
      <c r="AA2" s="1726"/>
      <c r="AB2" s="1726"/>
    </row>
    <row r="3" spans="1:28" s="40" customFormat="1" ht="17.399999999999999">
      <c r="A3" s="787"/>
      <c r="B3" s="1039"/>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04"/>
      <c r="AA3" s="1004"/>
      <c r="AB3" s="1004"/>
    </row>
    <row r="4" spans="1:28" ht="15.6">
      <c r="A4" s="995"/>
      <c r="B4" s="1011" t="s">
        <v>779</v>
      </c>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995"/>
      <c r="AA4" s="1040"/>
      <c r="AB4" s="1004"/>
    </row>
    <row r="5" spans="1:28" ht="16.2" thickBot="1">
      <c r="A5" s="995"/>
      <c r="B5" s="1011"/>
      <c r="C5" s="1024"/>
      <c r="D5" s="1024"/>
      <c r="E5" s="1024"/>
      <c r="F5" s="1024"/>
      <c r="G5" s="1024"/>
      <c r="H5" s="1024"/>
      <c r="I5" s="1024"/>
      <c r="J5" s="1024"/>
      <c r="K5" s="1024"/>
      <c r="L5" s="1024"/>
      <c r="M5" s="1024"/>
      <c r="N5" s="1024"/>
      <c r="O5" s="1024"/>
      <c r="P5" s="1024"/>
      <c r="Q5" s="1024"/>
      <c r="R5" s="1024"/>
      <c r="S5" s="1024"/>
      <c r="T5" s="1024"/>
      <c r="U5" s="1024"/>
      <c r="V5" s="1024"/>
      <c r="W5" s="1024"/>
      <c r="X5" s="1024"/>
      <c r="Y5" s="1024"/>
      <c r="Z5" s="995"/>
      <c r="AA5" s="1040"/>
      <c r="AB5" s="1004"/>
    </row>
    <row r="6" spans="1:28" ht="14.4" thickBot="1">
      <c r="A6" s="995"/>
      <c r="B6" s="1041" t="s">
        <v>702</v>
      </c>
      <c r="C6" s="1475">
        <f>'Wrksht. U, LTD Cost 1'!C7</f>
        <v>45291</v>
      </c>
      <c r="D6" s="1042" t="s">
        <v>703</v>
      </c>
      <c r="E6" s="998"/>
      <c r="F6" s="1042" t="s">
        <v>704</v>
      </c>
      <c r="G6" s="998"/>
      <c r="H6" s="1042" t="s">
        <v>705</v>
      </c>
      <c r="I6" s="998"/>
      <c r="J6" s="1042" t="s">
        <v>706</v>
      </c>
      <c r="K6" s="998"/>
      <c r="L6" s="1042" t="s">
        <v>707</v>
      </c>
      <c r="M6" s="998"/>
      <c r="N6" s="1043" t="s">
        <v>709</v>
      </c>
      <c r="O6" s="998"/>
      <c r="P6" s="1042" t="s">
        <v>710</v>
      </c>
      <c r="Q6" s="998"/>
      <c r="R6" s="864" t="s">
        <v>711</v>
      </c>
      <c r="S6" s="864"/>
      <c r="T6" s="998" t="s">
        <v>712</v>
      </c>
      <c r="U6" s="998"/>
      <c r="V6" s="1042" t="s">
        <v>708</v>
      </c>
      <c r="W6" s="998"/>
      <c r="X6" s="864" t="s">
        <v>322</v>
      </c>
      <c r="Y6" s="998"/>
      <c r="Z6" s="864" t="s">
        <v>323</v>
      </c>
      <c r="AA6" s="1040"/>
      <c r="AB6" s="998" t="s">
        <v>984</v>
      </c>
    </row>
    <row r="7" spans="1:28" ht="13.8">
      <c r="A7" s="995"/>
      <c r="B7" s="1004"/>
      <c r="C7" s="1044"/>
      <c r="D7" s="1042"/>
      <c r="E7" s="998"/>
      <c r="F7" s="1042"/>
      <c r="G7" s="998"/>
      <c r="H7" s="1042"/>
      <c r="I7" s="998"/>
      <c r="J7" s="1042"/>
      <c r="K7" s="998"/>
      <c r="L7" s="1042"/>
      <c r="M7" s="998"/>
      <c r="N7" s="1043"/>
      <c r="O7" s="998"/>
      <c r="P7" s="1042"/>
      <c r="Q7" s="998"/>
      <c r="R7" s="864"/>
      <c r="S7" s="864"/>
      <c r="T7" s="998"/>
      <c r="U7" s="998"/>
      <c r="V7" s="1042"/>
      <c r="W7" s="998"/>
      <c r="X7" s="864"/>
      <c r="Y7" s="998"/>
      <c r="Z7" s="864"/>
      <c r="AA7" s="1040"/>
      <c r="AB7" s="998"/>
    </row>
    <row r="8" spans="1:28" ht="13.8">
      <c r="A8" s="1001"/>
      <c r="B8" s="1001"/>
      <c r="C8" s="998"/>
      <c r="D8" s="864"/>
      <c r="E8" s="864"/>
      <c r="F8" s="864"/>
      <c r="G8" s="864"/>
      <c r="H8" s="864"/>
      <c r="I8" s="864"/>
      <c r="J8" s="864"/>
      <c r="K8" s="864"/>
      <c r="L8" s="864"/>
      <c r="M8" s="864"/>
      <c r="N8" s="864"/>
      <c r="O8" s="864"/>
      <c r="P8" s="864"/>
      <c r="Q8" s="864"/>
      <c r="R8" s="864"/>
      <c r="S8" s="864"/>
      <c r="T8" s="864" t="s">
        <v>324</v>
      </c>
      <c r="U8" s="864"/>
      <c r="V8" s="864"/>
      <c r="W8" s="864"/>
      <c r="X8" s="864"/>
      <c r="Y8" s="864"/>
      <c r="Z8" s="998" t="s">
        <v>553</v>
      </c>
      <c r="AA8" s="1045"/>
      <c r="AB8" s="1046" t="s">
        <v>1085</v>
      </c>
    </row>
    <row r="9" spans="1:28" ht="13.8">
      <c r="A9" s="995"/>
      <c r="B9" s="1047"/>
      <c r="C9" s="1004"/>
      <c r="D9" s="1004"/>
      <c r="E9" s="1004"/>
      <c r="F9" s="1004"/>
      <c r="G9" s="1004"/>
      <c r="H9" s="998" t="s">
        <v>554</v>
      </c>
      <c r="I9" s="1004"/>
      <c r="J9" s="998" t="s">
        <v>555</v>
      </c>
      <c r="K9" s="998"/>
      <c r="L9" s="1004"/>
      <c r="M9" s="1004"/>
      <c r="N9" s="998" t="s">
        <v>556</v>
      </c>
      <c r="O9" s="1004"/>
      <c r="P9" s="714"/>
      <c r="Q9" s="1004"/>
      <c r="R9" s="998"/>
      <c r="S9" s="714"/>
      <c r="T9" s="1045" t="s">
        <v>695</v>
      </c>
      <c r="U9" s="1004"/>
      <c r="V9" s="1045" t="s">
        <v>696</v>
      </c>
      <c r="W9" s="1004"/>
      <c r="X9" s="864" t="s">
        <v>1410</v>
      </c>
      <c r="Y9" s="1004"/>
      <c r="Z9" s="1005" t="s">
        <v>1411</v>
      </c>
      <c r="AA9" s="998"/>
      <c r="AB9" s="1048" t="s">
        <v>1412</v>
      </c>
    </row>
    <row r="10" spans="1:28" ht="15.6">
      <c r="A10" s="995"/>
      <c r="B10" s="995"/>
      <c r="C10" s="1004"/>
      <c r="D10" s="998" t="s">
        <v>1413</v>
      </c>
      <c r="E10" s="998"/>
      <c r="F10" s="998" t="s">
        <v>1414</v>
      </c>
      <c r="G10" s="998"/>
      <c r="H10" s="998" t="s">
        <v>1415</v>
      </c>
      <c r="I10" s="998"/>
      <c r="J10" s="998" t="s">
        <v>1416</v>
      </c>
      <c r="K10" s="998"/>
      <c r="L10" s="998" t="s">
        <v>1417</v>
      </c>
      <c r="M10" s="998"/>
      <c r="N10" s="998" t="s">
        <v>1418</v>
      </c>
      <c r="O10" s="998"/>
      <c r="P10" s="998" t="s">
        <v>1419</v>
      </c>
      <c r="Q10" s="998"/>
      <c r="R10" s="998" t="s">
        <v>698</v>
      </c>
      <c r="S10" s="714"/>
      <c r="T10" s="1045" t="s">
        <v>1420</v>
      </c>
      <c r="U10" s="998"/>
      <c r="V10" s="1045" t="s">
        <v>1421</v>
      </c>
      <c r="W10" s="998"/>
      <c r="X10" s="864" t="s">
        <v>1422</v>
      </c>
      <c r="Y10" s="998"/>
      <c r="Z10" s="928" t="s">
        <v>2279</v>
      </c>
      <c r="AA10" s="998"/>
      <c r="AB10" s="1048" t="s">
        <v>1423</v>
      </c>
    </row>
    <row r="11" spans="1:28" ht="17.399999999999999" thickBot="1">
      <c r="A11" s="995"/>
      <c r="B11" s="1049" t="s">
        <v>1424</v>
      </c>
      <c r="C11" s="1007" t="s">
        <v>2280</v>
      </c>
      <c r="D11" s="1007" t="s">
        <v>1425</v>
      </c>
      <c r="E11" s="1050"/>
      <c r="F11" s="1007" t="s">
        <v>1425</v>
      </c>
      <c r="G11" s="1050"/>
      <c r="H11" s="1007" t="s">
        <v>1426</v>
      </c>
      <c r="I11" s="1050"/>
      <c r="J11" s="1007" t="s">
        <v>1427</v>
      </c>
      <c r="K11" s="1050"/>
      <c r="L11" s="1007" t="s">
        <v>1420</v>
      </c>
      <c r="M11" s="1007"/>
      <c r="N11" s="1007" t="s">
        <v>2281</v>
      </c>
      <c r="O11" s="1007"/>
      <c r="P11" s="1007" t="s">
        <v>1428</v>
      </c>
      <c r="Q11" s="1007"/>
      <c r="R11" s="1007" t="s">
        <v>2282</v>
      </c>
      <c r="S11" s="1010"/>
      <c r="T11" s="1008" t="s">
        <v>1430</v>
      </c>
      <c r="U11" s="1007"/>
      <c r="V11" s="1007" t="s">
        <v>2283</v>
      </c>
      <c r="W11" s="1050"/>
      <c r="X11" s="1499" t="str">
        <f>" t = "&amp;TEXT($C$6,"yyyy")</f>
        <v xml:space="preserve"> t = 2023</v>
      </c>
      <c r="Y11" s="1050"/>
      <c r="Z11" s="1500" t="str">
        <f>"in t = "&amp;TEXT($C$6,"yyyy")</f>
        <v>in t = 2023</v>
      </c>
      <c r="AA11" s="1009"/>
      <c r="AB11" s="1501" t="str">
        <f>"in "&amp;TEXT($C$6,"yyyy")</f>
        <v>in 2023</v>
      </c>
    </row>
    <row r="12" spans="1:28" ht="13.8">
      <c r="A12" s="995"/>
      <c r="B12" s="995"/>
      <c r="C12" s="1004"/>
      <c r="D12" s="998"/>
      <c r="E12" s="1051"/>
      <c r="F12" s="998"/>
      <c r="G12" s="1051"/>
      <c r="H12" s="998"/>
      <c r="I12" s="1051"/>
      <c r="J12" s="998"/>
      <c r="K12" s="1051"/>
      <c r="L12" s="998"/>
      <c r="M12" s="998"/>
      <c r="N12" s="998"/>
      <c r="O12" s="998"/>
      <c r="P12" s="998"/>
      <c r="Q12" s="998"/>
      <c r="R12" s="998"/>
      <c r="S12" s="714"/>
      <c r="T12" s="714"/>
      <c r="U12" s="998"/>
      <c r="V12" s="714"/>
      <c r="W12" s="1051"/>
      <c r="X12" s="714"/>
      <c r="Y12" s="1051"/>
      <c r="Z12" s="998"/>
      <c r="AA12" s="998"/>
      <c r="AB12" s="1203"/>
    </row>
    <row r="13" spans="1:28" ht="13.8">
      <c r="A13" s="593"/>
      <c r="B13" s="1630" t="str">
        <f>'Wrksht. U, LTD Cost 1'!B13</f>
        <v>Evergy Kansas Central First Mortgage Bonds</v>
      </c>
      <c r="C13" s="1481"/>
      <c r="D13" s="1479"/>
      <c r="E13" s="1661"/>
      <c r="F13" s="1479"/>
      <c r="G13" s="1661"/>
      <c r="H13" s="1479"/>
      <c r="I13" s="1661"/>
      <c r="J13" s="1479"/>
      <c r="K13" s="1661"/>
      <c r="L13" s="1479"/>
      <c r="M13" s="1479"/>
      <c r="N13" s="1479"/>
      <c r="O13" s="1479"/>
      <c r="P13" s="1661"/>
      <c r="Q13" s="1479"/>
      <c r="R13" s="1479"/>
      <c r="S13" s="1405"/>
      <c r="T13" s="1405"/>
      <c r="U13" s="1479"/>
      <c r="V13" s="1405"/>
      <c r="W13" s="1661"/>
      <c r="X13" s="1405"/>
      <c r="Y13" s="1661"/>
      <c r="Z13" s="1479"/>
      <c r="AA13" s="1479"/>
      <c r="AB13" s="1662"/>
    </row>
    <row r="14" spans="1:28">
      <c r="A14" s="1484" t="str">
        <f>'Wrksht. U, LTD Cost 1'!A14</f>
        <v>(1)</v>
      </c>
      <c r="B14" s="1484" t="str">
        <f>'Wrksht. U, LTD Cost 1'!B14</f>
        <v>WR 2012 FMB 4.125% Due 2042</v>
      </c>
      <c r="C14" s="1485" t="str">
        <f>'Wrksht. U, LTD Cost 1'!C14</f>
        <v>No</v>
      </c>
      <c r="D14" s="1632">
        <f>'Wrksht. U, LTD Cost 1'!D14</f>
        <v>40969</v>
      </c>
      <c r="E14" s="1480"/>
      <c r="F14" s="1632">
        <f>'Wrksht. U, LTD Cost 1'!F14</f>
        <v>51926</v>
      </c>
      <c r="G14" s="1480"/>
      <c r="H14" s="1663">
        <f>'Wrksht. U, LTD Cost 1'!H14</f>
        <v>550000000</v>
      </c>
      <c r="I14" s="1480"/>
      <c r="J14" s="1635">
        <v>-1862000</v>
      </c>
      <c r="K14" s="1480"/>
      <c r="L14" s="1635">
        <v>-36155664</v>
      </c>
      <c r="M14" s="1502"/>
      <c r="N14" s="1496">
        <v>0</v>
      </c>
      <c r="O14" s="1502"/>
      <c r="P14" s="1635">
        <f t="shared" ref="P14:P24" si="0">+H14+J14+L14+N14</f>
        <v>511982336</v>
      </c>
      <c r="Q14" s="1502"/>
      <c r="R14" s="1664">
        <v>4.1250000000000002E-2</v>
      </c>
      <c r="S14" s="1503"/>
      <c r="T14" s="1493">
        <f>-R14*'Wrksht. U, LTD Cost 1'!H14</f>
        <v>-22687500</v>
      </c>
      <c r="U14" s="1502"/>
      <c r="V14" s="1504">
        <f>+'Wrksht. U, YTM Bonds 1'!D14</f>
        <v>4.5496013665318316E-2</v>
      </c>
      <c r="W14" s="1480"/>
      <c r="X14" s="1505">
        <f>'Wrksht. U, LTD Cost 1'!L14</f>
        <v>360</v>
      </c>
      <c r="Y14" s="1480"/>
      <c r="Z14" s="1635">
        <f t="shared" ref="Z14:Z22" si="1">-(R14*H14)*X14/360</f>
        <v>-22687500</v>
      </c>
      <c r="AA14" s="1506"/>
      <c r="AB14" s="1507">
        <f t="shared" ref="AB14:AB20" si="2">V14</f>
        <v>4.5496013665318316E-2</v>
      </c>
    </row>
    <row r="15" spans="1:28">
      <c r="A15" s="1484" t="str">
        <f>'Wrksht. U, LTD Cost 1'!A15</f>
        <v>(2)</v>
      </c>
      <c r="B15" s="1484" t="str">
        <f>'Wrksht. U, LTD Cost 1'!B15</f>
        <v>WR 2013 FMB 4.10% Due 2043</v>
      </c>
      <c r="C15" s="1485" t="str">
        <f>'Wrksht. U, LTD Cost 1'!C15</f>
        <v>No</v>
      </c>
      <c r="D15" s="1632">
        <f>'Wrksht. U, LTD Cost 1'!D15</f>
        <v>41361</v>
      </c>
      <c r="E15" s="1480"/>
      <c r="F15" s="1632">
        <f>'Wrksht. U, LTD Cost 1'!F15</f>
        <v>52322</v>
      </c>
      <c r="G15" s="1480"/>
      <c r="H15" s="1663">
        <f>'Wrksht. U, LTD Cost 1'!H15</f>
        <v>430000000</v>
      </c>
      <c r="I15" s="1480"/>
      <c r="J15" s="1665">
        <v>-6927500</v>
      </c>
      <c r="K15" s="1480"/>
      <c r="L15" s="1665">
        <v>-5898838</v>
      </c>
      <c r="M15" s="1502"/>
      <c r="N15" s="1496">
        <v>0</v>
      </c>
      <c r="O15" s="1502"/>
      <c r="P15" s="1635">
        <f t="shared" si="0"/>
        <v>417173662</v>
      </c>
      <c r="Q15" s="1502"/>
      <c r="R15" s="1664">
        <v>4.1000000000000002E-2</v>
      </c>
      <c r="S15" s="1503"/>
      <c r="T15" s="1663">
        <f>-R15*'Wrksht. U, LTD Cost 1'!H15</f>
        <v>-17630000</v>
      </c>
      <c r="U15" s="1502"/>
      <c r="V15" s="1504">
        <f>+'Wrksht. U, YTM Bonds 1'!E14</f>
        <v>4.2773730447840642E-2</v>
      </c>
      <c r="W15" s="1480"/>
      <c r="X15" s="1505">
        <f>'Wrksht. U, LTD Cost 1'!L15</f>
        <v>360</v>
      </c>
      <c r="Y15" s="1480"/>
      <c r="Z15" s="1635">
        <f t="shared" si="1"/>
        <v>-17630000</v>
      </c>
      <c r="AA15" s="1506"/>
      <c r="AB15" s="1507">
        <f t="shared" si="2"/>
        <v>4.2773730447840642E-2</v>
      </c>
    </row>
    <row r="16" spans="1:28">
      <c r="A16" s="1484" t="str">
        <f>'Wrksht. U, LTD Cost 1'!A16</f>
        <v>(3)</v>
      </c>
      <c r="B16" s="1484" t="str">
        <f>'Wrksht. U, LTD Cost 1'!B16</f>
        <v>WR 2013 FMB 4.625% Due 2043</v>
      </c>
      <c r="C16" s="1485" t="str">
        <f>'Wrksht. U, LTD Cost 1'!C16</f>
        <v>No</v>
      </c>
      <c r="D16" s="1632">
        <f>'Wrksht. U, LTD Cost 1'!D16</f>
        <v>41505</v>
      </c>
      <c r="E16" s="1480"/>
      <c r="F16" s="1632">
        <f>'Wrksht. U, LTD Cost 1'!F16</f>
        <v>52475</v>
      </c>
      <c r="G16" s="1480"/>
      <c r="H16" s="1663">
        <f>'Wrksht. U, LTD Cost 1'!H16</f>
        <v>250000000</v>
      </c>
      <c r="I16" s="1480"/>
      <c r="J16" s="1635">
        <v>-5000</v>
      </c>
      <c r="K16" s="1480"/>
      <c r="L16" s="1666">
        <v>-3336867</v>
      </c>
      <c r="M16" s="1502"/>
      <c r="N16" s="1635">
        <v>0</v>
      </c>
      <c r="O16" s="1502"/>
      <c r="P16" s="1635">
        <f t="shared" si="0"/>
        <v>246658133</v>
      </c>
      <c r="Q16" s="1502"/>
      <c r="R16" s="1664">
        <v>4.6249999999999999E-2</v>
      </c>
      <c r="S16" s="1503"/>
      <c r="T16" s="1663">
        <f>-R16*'Wrksht. U, LTD Cost 1'!H16</f>
        <v>-11562500</v>
      </c>
      <c r="U16" s="1502"/>
      <c r="V16" s="1504">
        <f>+'Wrksht. U, YTM Bonds 1'!F14</f>
        <v>4.7084905923927979E-2</v>
      </c>
      <c r="W16" s="1480"/>
      <c r="X16" s="1505">
        <f>'Wrksht. U, LTD Cost 1'!L16</f>
        <v>360</v>
      </c>
      <c r="Y16" s="1480"/>
      <c r="Z16" s="1635">
        <f t="shared" si="1"/>
        <v>-11562500</v>
      </c>
      <c r="AA16" s="1506"/>
      <c r="AB16" s="1507">
        <f t="shared" si="2"/>
        <v>4.7084905923927979E-2</v>
      </c>
    </row>
    <row r="17" spans="1:28">
      <c r="A17" s="1484" t="str">
        <f>'Wrksht. U, LTD Cost 1'!A17</f>
        <v>(4)</v>
      </c>
      <c r="B17" s="1484" t="str">
        <f>'Wrksht. U, LTD Cost 1'!B17</f>
        <v>WR 2015 FMB 3.25% Due 2025</v>
      </c>
      <c r="C17" s="1485" t="str">
        <f>'Wrksht. U, LTD Cost 1'!C17</f>
        <v>No</v>
      </c>
      <c r="D17" s="1632">
        <f>'Wrksht. U, LTD Cost 1'!D17</f>
        <v>42321</v>
      </c>
      <c r="E17" s="1508"/>
      <c r="F17" s="1632">
        <f>'Wrksht. U, LTD Cost 1'!F17</f>
        <v>45992</v>
      </c>
      <c r="G17" s="1508"/>
      <c r="H17" s="1663">
        <f>'Wrksht. U, LTD Cost 1'!H17</f>
        <v>250000000</v>
      </c>
      <c r="I17" s="1508"/>
      <c r="J17" s="1635">
        <v>-2500</v>
      </c>
      <c r="K17" s="1508"/>
      <c r="L17" s="1650">
        <v>-2047903</v>
      </c>
      <c r="M17" s="1485"/>
      <c r="N17" s="1650">
        <v>0</v>
      </c>
      <c r="O17" s="1485"/>
      <c r="P17" s="1635">
        <f t="shared" si="0"/>
        <v>247949597</v>
      </c>
      <c r="Q17" s="1485"/>
      <c r="R17" s="1664">
        <v>3.2500000000000001E-2</v>
      </c>
      <c r="S17" s="1503"/>
      <c r="T17" s="1663">
        <f>-R17*'Wrksht. U, LTD Cost 1'!H17</f>
        <v>-8125000</v>
      </c>
      <c r="U17" s="1485"/>
      <c r="V17" s="1504">
        <f>+'Wrksht. U, YTM Bonds 1'!G14</f>
        <v>3.346639660565584E-2</v>
      </c>
      <c r="W17" s="1508"/>
      <c r="X17" s="1505">
        <f>'Wrksht. U, LTD Cost 1'!L17</f>
        <v>360</v>
      </c>
      <c r="Y17" s="1508"/>
      <c r="Z17" s="1635">
        <f t="shared" si="1"/>
        <v>-8125000</v>
      </c>
      <c r="AA17" s="1485"/>
      <c r="AB17" s="1507">
        <f t="shared" si="2"/>
        <v>3.346639660565584E-2</v>
      </c>
    </row>
    <row r="18" spans="1:28">
      <c r="A18" s="1484" t="str">
        <f>'Wrksht. U, LTD Cost 1'!A18</f>
        <v>(5)</v>
      </c>
      <c r="B18" s="1484" t="str">
        <f>'Wrksht. U, LTD Cost 1'!B18</f>
        <v>WR 2015 FMB 4.25% Due 2045</v>
      </c>
      <c r="C18" s="1485" t="str">
        <f>'Wrksht. U, LTD Cost 1'!C18</f>
        <v>No</v>
      </c>
      <c r="D18" s="1632">
        <f>'Wrksht. U, LTD Cost 1'!D18</f>
        <v>42321</v>
      </c>
      <c r="E18" s="1480"/>
      <c r="F18" s="1632">
        <f>'Wrksht. U, LTD Cost 1'!F18</f>
        <v>53297</v>
      </c>
      <c r="G18" s="1480"/>
      <c r="H18" s="1663">
        <f>'Wrksht. U, LTD Cost 1'!H18</f>
        <v>300000000</v>
      </c>
      <c r="I18" s="1480"/>
      <c r="J18" s="1635">
        <v>-1218000</v>
      </c>
      <c r="K18" s="1480"/>
      <c r="L18" s="1635">
        <v>-3125884</v>
      </c>
      <c r="M18" s="1480"/>
      <c r="N18" s="1635">
        <v>-62398685</v>
      </c>
      <c r="O18" s="1480"/>
      <c r="P18" s="1635">
        <f t="shared" si="0"/>
        <v>233257431</v>
      </c>
      <c r="Q18" s="1480"/>
      <c r="R18" s="1664">
        <v>4.2500000000000003E-2</v>
      </c>
      <c r="S18" s="1503"/>
      <c r="T18" s="1663">
        <f>-R18*'Wrksht. U, LTD Cost 1'!H18</f>
        <v>-12750000</v>
      </c>
      <c r="U18" s="1480"/>
      <c r="V18" s="1504">
        <f>+'Wrksht. U, YTM Bonds 1'!H14</f>
        <v>5.8268808958201551E-2</v>
      </c>
      <c r="W18" s="1480"/>
      <c r="X18" s="1505">
        <f>'Wrksht. U, LTD Cost 1'!L18</f>
        <v>360</v>
      </c>
      <c r="Y18" s="1480"/>
      <c r="Z18" s="1635">
        <f t="shared" si="1"/>
        <v>-12750000</v>
      </c>
      <c r="AA18" s="1503"/>
      <c r="AB18" s="1507">
        <f t="shared" si="2"/>
        <v>5.8268808958201551E-2</v>
      </c>
    </row>
    <row r="19" spans="1:28">
      <c r="A19" s="1484" t="str">
        <f>'Wrksht. U, LTD Cost 1'!A19</f>
        <v>(6)</v>
      </c>
      <c r="B19" s="1484" t="str">
        <f>'Wrksht. U, LTD Cost 1'!B19</f>
        <v>WR 2016 FMB 2.55% Due 2026</v>
      </c>
      <c r="C19" s="1485" t="str">
        <f>'Wrksht. U, LTD Cost 1'!C19</f>
        <v>No</v>
      </c>
      <c r="D19" s="1632">
        <f>'Wrksht. U, LTD Cost 1'!D19</f>
        <v>42541</v>
      </c>
      <c r="E19" s="1480"/>
      <c r="F19" s="1632">
        <f>'Wrksht. U, LTD Cost 1'!F19</f>
        <v>46204</v>
      </c>
      <c r="G19" s="1480"/>
      <c r="H19" s="1663">
        <f>'Wrksht. U, LTD Cost 1'!H19</f>
        <v>350000000</v>
      </c>
      <c r="I19" s="1480"/>
      <c r="J19" s="1635">
        <v>-493500</v>
      </c>
      <c r="K19" s="1480"/>
      <c r="L19" s="1635">
        <v>-4267815</v>
      </c>
      <c r="M19" s="1480"/>
      <c r="N19" s="1635">
        <v>0</v>
      </c>
      <c r="O19" s="1480"/>
      <c r="P19" s="1635">
        <f t="shared" si="0"/>
        <v>345238685</v>
      </c>
      <c r="Q19" s="1480"/>
      <c r="R19" s="1664">
        <v>2.5499999999999998E-2</v>
      </c>
      <c r="S19" s="1503"/>
      <c r="T19" s="1663">
        <f>-R19*'Wrksht. U, LTD Cost 1'!H19</f>
        <v>-8925000</v>
      </c>
      <c r="U19" s="1480"/>
      <c r="V19" s="1504">
        <f>+'Wrksht. U, YTM Bonds 1'!I14</f>
        <v>2.7057170827015781E-2</v>
      </c>
      <c r="W19" s="1480"/>
      <c r="X19" s="1505">
        <f>'Wrksht. U, LTD Cost 1'!L19</f>
        <v>360</v>
      </c>
      <c r="Y19" s="1480"/>
      <c r="Z19" s="1635">
        <f t="shared" si="1"/>
        <v>-8925000</v>
      </c>
      <c r="AA19" s="1503"/>
      <c r="AB19" s="1507">
        <f>V19</f>
        <v>2.7057170827015781E-2</v>
      </c>
    </row>
    <row r="20" spans="1:28">
      <c r="A20" s="1484" t="str">
        <f>'Wrksht. U, LTD Cost 1'!A20</f>
        <v>(7)</v>
      </c>
      <c r="B20" s="1484" t="str">
        <f>'Wrksht. U, LTD Cost 1'!B20</f>
        <v>WR 2017 FMB 3.10% Due 2027</v>
      </c>
      <c r="C20" s="1485" t="str">
        <f>'Wrksht. U, LTD Cost 1'!C20</f>
        <v>No</v>
      </c>
      <c r="D20" s="1632">
        <f>'Wrksht. U, LTD Cost 1'!D20</f>
        <v>42800</v>
      </c>
      <c r="E20" s="1480"/>
      <c r="F20" s="1632">
        <f>'Wrksht. U, LTD Cost 1'!F20</f>
        <v>46478</v>
      </c>
      <c r="G20" s="1480"/>
      <c r="H20" s="1663">
        <f>'Wrksht. U, LTD Cost 1'!H20</f>
        <v>300000000</v>
      </c>
      <c r="I20" s="1480"/>
      <c r="J20" s="1635">
        <v>-1164000</v>
      </c>
      <c r="K20" s="1480"/>
      <c r="L20" s="1635">
        <v>-2630917</v>
      </c>
      <c r="M20" s="1480"/>
      <c r="N20" s="1635">
        <v>0</v>
      </c>
      <c r="O20" s="1480"/>
      <c r="P20" s="1635">
        <f t="shared" si="0"/>
        <v>296205083</v>
      </c>
      <c r="Q20" s="1480"/>
      <c r="R20" s="1664">
        <v>3.1E-2</v>
      </c>
      <c r="S20" s="1503"/>
      <c r="T20" s="1663">
        <f>-R20*'Wrksht. U, LTD Cost 1'!H20</f>
        <v>-9300000</v>
      </c>
      <c r="U20" s="1480"/>
      <c r="V20" s="1504">
        <f>+'Wrksht. U, YTM Bonds 1'!J14</f>
        <v>3.248090570423412E-2</v>
      </c>
      <c r="W20" s="1480"/>
      <c r="X20" s="1505">
        <f>'Wrksht. U, LTD Cost 1'!L20</f>
        <v>360</v>
      </c>
      <c r="Y20" s="1480"/>
      <c r="Z20" s="1667">
        <f t="shared" si="1"/>
        <v>-9300000</v>
      </c>
      <c r="AA20" s="1503"/>
      <c r="AB20" s="1507">
        <f t="shared" si="2"/>
        <v>3.248090570423412E-2</v>
      </c>
    </row>
    <row r="21" spans="1:28">
      <c r="A21" s="1484" t="str">
        <f>'Wrksht. U, LTD Cost 1'!A21</f>
        <v>(8)</v>
      </c>
      <c r="B21" s="1484" t="str">
        <f>'Wrksht. U, LTD Cost 1'!B21</f>
        <v>WR 2019 FMB 3.25% Due 2049</v>
      </c>
      <c r="C21" s="1485" t="str">
        <f>'Wrksht. U, LTD Cost 1'!C21</f>
        <v>No</v>
      </c>
      <c r="D21" s="1632">
        <f>'Wrksht. U, LTD Cost 1'!D21</f>
        <v>43696</v>
      </c>
      <c r="E21" s="1480"/>
      <c r="F21" s="1632">
        <f>'Wrksht. U, LTD Cost 1'!F21</f>
        <v>54667</v>
      </c>
      <c r="G21" s="1480"/>
      <c r="H21" s="1663">
        <f>'Wrksht. U, LTD Cost 1'!H21</f>
        <v>300000000</v>
      </c>
      <c r="I21" s="1480"/>
      <c r="J21" s="1635">
        <v>-2622000</v>
      </c>
      <c r="K21" s="1480"/>
      <c r="L21" s="1635">
        <v>-3209513</v>
      </c>
      <c r="M21" s="1480"/>
      <c r="N21" s="1635">
        <v>0</v>
      </c>
      <c r="O21" s="1480"/>
      <c r="P21" s="1635">
        <f t="shared" si="0"/>
        <v>294168487</v>
      </c>
      <c r="Q21" s="1480"/>
      <c r="R21" s="1664">
        <v>3.2500000000000001E-2</v>
      </c>
      <c r="S21" s="1503"/>
      <c r="T21" s="1663">
        <f>-R21*'Wrksht. U, LTD Cost 1'!H21</f>
        <v>-9750000</v>
      </c>
      <c r="U21" s="1480"/>
      <c r="V21" s="1504">
        <f>+'Wrksht. U, YTM Bonds 1'!K14</f>
        <v>3.3531388736853712E-2</v>
      </c>
      <c r="W21" s="1480"/>
      <c r="X21" s="1505">
        <f>'Wrksht. U, LTD Cost 1'!L21</f>
        <v>360</v>
      </c>
      <c r="Y21" s="1480"/>
      <c r="Z21" s="1667">
        <f t="shared" si="1"/>
        <v>-9750000</v>
      </c>
      <c r="AA21" s="1503"/>
      <c r="AB21" s="1507">
        <f>V21</f>
        <v>3.3531388736853712E-2</v>
      </c>
    </row>
    <row r="22" spans="1:28">
      <c r="A22" s="1484" t="str">
        <f>'Wrksht. U, LTD Cost 1'!A22</f>
        <v>(9)</v>
      </c>
      <c r="B22" s="1484" t="str">
        <f>'Wrksht. U, LTD Cost 1'!B22</f>
        <v>WR 2020 FMB 3.45% Due 2050</v>
      </c>
      <c r="C22" s="1485" t="str">
        <f>'Wrksht. U, LTD Cost 1'!C22</f>
        <v>No</v>
      </c>
      <c r="D22" s="1632">
        <f>'Wrksht. U, LTD Cost 1'!D22</f>
        <v>43930</v>
      </c>
      <c r="E22" s="1480"/>
      <c r="F22" s="1632">
        <f>'Wrksht. U, LTD Cost 1'!F22</f>
        <v>54893</v>
      </c>
      <c r="G22" s="1480"/>
      <c r="H22" s="1663">
        <f>'Wrksht. U, LTD Cost 1'!H22</f>
        <v>500000000</v>
      </c>
      <c r="I22" s="1480"/>
      <c r="J22" s="1635">
        <v>-2045000</v>
      </c>
      <c r="K22" s="1480"/>
      <c r="L22" s="1635">
        <v>-5299724</v>
      </c>
      <c r="M22" s="1480"/>
      <c r="N22" s="1635">
        <v>-15370356</v>
      </c>
      <c r="O22" s="1480"/>
      <c r="P22" s="1635">
        <f t="shared" si="0"/>
        <v>477284920</v>
      </c>
      <c r="Q22" s="1480"/>
      <c r="R22" s="1664">
        <v>3.4500000000000003E-2</v>
      </c>
      <c r="S22" s="1503"/>
      <c r="T22" s="1663">
        <f>-R22*'Wrksht. U, LTD Cost 1'!H22</f>
        <v>-17250000</v>
      </c>
      <c r="U22" s="1480"/>
      <c r="V22" s="1504">
        <f>+'Wrksht. U, YTM Bonds 1'!L14</f>
        <v>3.7019373651547546E-2</v>
      </c>
      <c r="W22" s="1480"/>
      <c r="X22" s="1505">
        <f>'Wrksht. U, LTD Cost 1'!L22</f>
        <v>360</v>
      </c>
      <c r="Y22" s="1480"/>
      <c r="Z22" s="1667">
        <f t="shared" si="1"/>
        <v>-17250000</v>
      </c>
      <c r="AA22" s="1503"/>
      <c r="AB22" s="1507">
        <f>V22</f>
        <v>3.7019373651547546E-2</v>
      </c>
    </row>
    <row r="23" spans="1:28">
      <c r="A23" s="1484" t="str">
        <f>'Wrksht. U, LTD Cost 1'!A23</f>
        <v>(10)</v>
      </c>
      <c r="B23" s="1484" t="str">
        <f>'Wrksht. U, LTD Cost 1'!B23</f>
        <v>WR 2023 FMB 5.70% Due 2053</v>
      </c>
      <c r="C23" s="1485" t="str">
        <f>'Wrksht. U, LTD Cost 1'!C23</f>
        <v>No</v>
      </c>
      <c r="D23" s="1632">
        <f>'Wrksht. U, LTD Cost 1'!D23</f>
        <v>44999</v>
      </c>
      <c r="E23" s="1480"/>
      <c r="F23" s="1632">
        <f>'Wrksht. U, LTD Cost 1'!F23</f>
        <v>55958</v>
      </c>
      <c r="G23" s="1480"/>
      <c r="H23" s="1663">
        <f>'Wrksht. U, LTD Cost 1'!H23</f>
        <v>400000000</v>
      </c>
      <c r="I23" s="1480"/>
      <c r="J23" s="1635">
        <v>-2336000</v>
      </c>
      <c r="K23" s="1480"/>
      <c r="L23" s="1635">
        <v>-4330321.75</v>
      </c>
      <c r="M23" s="1480"/>
      <c r="N23" s="1635">
        <v>0</v>
      </c>
      <c r="O23" s="1480"/>
      <c r="P23" s="1635">
        <f t="shared" si="0"/>
        <v>393333678.25</v>
      </c>
      <c r="Q23" s="1480"/>
      <c r="R23" s="1664">
        <v>5.7000000000000002E-2</v>
      </c>
      <c r="S23" s="1503"/>
      <c r="T23" s="1663">
        <f>-R23*'Wrksht. U, LTD Cost 1'!H23</f>
        <v>-22800000</v>
      </c>
      <c r="U23" s="1480"/>
      <c r="V23" s="1504">
        <f>+'Wrksht. U, YTM Bonds 1'!M14</f>
        <v>5.8180796120342979E-2</v>
      </c>
      <c r="W23" s="1480"/>
      <c r="X23" s="1505">
        <f>'Wrksht. U, LTD Cost 1'!L23</f>
        <v>360</v>
      </c>
      <c r="Y23" s="1480"/>
      <c r="Z23" s="1667">
        <f t="shared" ref="Z23:Z24" si="3">-(R23*H23)*X23/360</f>
        <v>-22800000</v>
      </c>
      <c r="AA23" s="1503"/>
      <c r="AB23" s="1507">
        <f t="shared" ref="AB23:AB24" si="4">V23</f>
        <v>5.8180796120342979E-2</v>
      </c>
    </row>
    <row r="24" spans="1:28">
      <c r="A24" s="1484" t="str">
        <f>'Wrksht. U, LTD Cost 1'!A24</f>
        <v>(11)</v>
      </c>
      <c r="B24" s="1484" t="str">
        <f>'Wrksht. U, LTD Cost 1'!B24</f>
        <v>WR 2023 FMB 5.90% Due 2033</v>
      </c>
      <c r="C24" s="1485" t="str">
        <f>'Wrksht. U, LTD Cost 1'!C24</f>
        <v>No</v>
      </c>
      <c r="D24" s="1632">
        <f>'Wrksht. U, LTD Cost 1'!D24</f>
        <v>45245</v>
      </c>
      <c r="E24" s="1480"/>
      <c r="F24" s="1632">
        <f>'Wrksht. U, LTD Cost 1'!F24</f>
        <v>48898</v>
      </c>
      <c r="G24" s="1480"/>
      <c r="H24" s="1663">
        <f>'Wrksht. U, LTD Cost 1'!H24</f>
        <v>300000000</v>
      </c>
      <c r="I24" s="1480"/>
      <c r="J24" s="1635">
        <v>-336000</v>
      </c>
      <c r="K24" s="1480"/>
      <c r="L24" s="1635">
        <v>-2441279.83</v>
      </c>
      <c r="M24" s="1480"/>
      <c r="N24" s="1635">
        <v>0</v>
      </c>
      <c r="O24" s="1480"/>
      <c r="P24" s="1635">
        <f t="shared" si="0"/>
        <v>297222720.17000002</v>
      </c>
      <c r="Q24" s="1480"/>
      <c r="R24" s="1664">
        <v>5.8999999999999997E-2</v>
      </c>
      <c r="S24" s="1503"/>
      <c r="T24" s="1663">
        <f>-R24*'Wrksht. U, LTD Cost 1'!H24</f>
        <v>-17700000</v>
      </c>
      <c r="U24" s="1480"/>
      <c r="V24" s="1504">
        <f>+'Wrksht. U, YTM Bonds 1'!N14</f>
        <v>6.0245927460133478E-2</v>
      </c>
      <c r="W24" s="1480"/>
      <c r="X24" s="1505">
        <f>'Wrksht. U, LTD Cost 1'!L24</f>
        <v>360</v>
      </c>
      <c r="Y24" s="1480"/>
      <c r="Z24" s="1667">
        <f t="shared" si="3"/>
        <v>-17700000</v>
      </c>
      <c r="AA24" s="1503"/>
      <c r="AB24" s="1507">
        <f t="shared" si="4"/>
        <v>6.0245927460133478E-2</v>
      </c>
    </row>
    <row r="25" spans="1:28">
      <c r="A25" s="594"/>
      <c r="B25" s="1484"/>
      <c r="C25" s="1485"/>
      <c r="D25" s="1632"/>
      <c r="E25" s="1480"/>
      <c r="F25" s="1632"/>
      <c r="G25" s="1480"/>
      <c r="H25" s="1493"/>
      <c r="I25" s="1480"/>
      <c r="J25" s="1493"/>
      <c r="K25" s="1480"/>
      <c r="L25" s="1493"/>
      <c r="M25" s="1496"/>
      <c r="N25" s="1496"/>
      <c r="O25" s="1496"/>
      <c r="P25" s="1493"/>
      <c r="Q25" s="1496"/>
      <c r="R25" s="1668"/>
      <c r="S25" s="1503"/>
      <c r="T25" s="1635"/>
      <c r="U25" s="1496"/>
      <c r="V25" s="1509"/>
      <c r="W25" s="1480"/>
      <c r="X25" s="1505"/>
      <c r="Y25" s="1480"/>
      <c r="Z25" s="1496"/>
      <c r="AA25" s="1503"/>
      <c r="AB25" s="1510"/>
    </row>
    <row r="26" spans="1:28" ht="13.8">
      <c r="A26" s="594"/>
      <c r="B26" s="1630" t="str">
        <f>'Wrksht. U, LTD Cost 1'!B26</f>
        <v>Evergy Kansas Central Pollution Control Bonds</v>
      </c>
      <c r="C26" s="1485"/>
      <c r="D26" s="1632"/>
      <c r="E26" s="1480"/>
      <c r="F26" s="1632"/>
      <c r="G26" s="1480"/>
      <c r="H26" s="1493"/>
      <c r="I26" s="1480"/>
      <c r="J26" s="1493"/>
      <c r="K26" s="1480"/>
      <c r="L26" s="1493"/>
      <c r="M26" s="1496"/>
      <c r="N26" s="1493"/>
      <c r="O26" s="1496"/>
      <c r="P26" s="1493"/>
      <c r="Q26" s="1496"/>
      <c r="R26" s="1669"/>
      <c r="S26" s="1503"/>
      <c r="T26" s="1635"/>
      <c r="U26" s="1496"/>
      <c r="V26" s="1504"/>
      <c r="W26" s="1480"/>
      <c r="X26" s="1505"/>
      <c r="Y26" s="1480"/>
      <c r="Z26" s="1493"/>
      <c r="AA26" s="1503"/>
      <c r="AB26" s="1507"/>
    </row>
    <row r="27" spans="1:28">
      <c r="A27" s="1484" t="str">
        <f>'Wrksht. U, LTD Cost 1'!A27</f>
        <v>(12)</v>
      </c>
      <c r="B27" s="1484" t="str">
        <f>'Wrksht. U, LTD Cost 1'!B27</f>
        <v>WR 1994 St. Marys PCB Variable Due 2032</v>
      </c>
      <c r="C27" s="1485" t="str">
        <f>'Wrksht. U, LTD Cost 1'!C27</f>
        <v>No</v>
      </c>
      <c r="D27" s="1632">
        <f>'Wrksht. U, LTD Cost 1'!D27</f>
        <v>34452</v>
      </c>
      <c r="E27" s="1480"/>
      <c r="F27" s="1632">
        <f>'Wrksht. U, LTD Cost 1'!F27</f>
        <v>48319</v>
      </c>
      <c r="G27" s="1480"/>
      <c r="H27" s="1493">
        <f>'Wrksht. U, LTD Cost 1'!H27</f>
        <v>45000000</v>
      </c>
      <c r="I27" s="1480"/>
      <c r="J27" s="1493">
        <v>0</v>
      </c>
      <c r="K27" s="1480"/>
      <c r="L27" s="1670">
        <v>-866228</v>
      </c>
      <c r="M27" s="1496"/>
      <c r="N27" s="1493">
        <v>-439751</v>
      </c>
      <c r="O27" s="1496"/>
      <c r="P27" s="1493">
        <f>+H27+J27+L27+N27</f>
        <v>43694021</v>
      </c>
      <c r="Q27" s="1496"/>
      <c r="R27" s="1671">
        <v>3.5628745363774673E-2</v>
      </c>
      <c r="S27" s="1503"/>
      <c r="T27" s="1657">
        <v>-1567293.5413698601</v>
      </c>
      <c r="U27" s="1496"/>
      <c r="V27" s="1504"/>
      <c r="W27" s="1480"/>
      <c r="X27" s="1505">
        <f>'Wrksht. U, LTD Cost 1'!L27</f>
        <v>365</v>
      </c>
      <c r="Y27" s="1480"/>
      <c r="Z27" s="1672">
        <f>-(R27*H27)*X27/365</f>
        <v>-1603293.5413698601</v>
      </c>
      <c r="AA27" s="1503"/>
      <c r="AB27" s="1507">
        <f>R27</f>
        <v>3.5628745363774673E-2</v>
      </c>
    </row>
    <row r="28" spans="1:28">
      <c r="A28" s="1484" t="str">
        <f>'Wrksht. U, LTD Cost 1'!A28</f>
        <v>(13)</v>
      </c>
      <c r="B28" s="1484" t="str">
        <f>'Wrksht. U, LTD Cost 1'!B28</f>
        <v>WR 1994 Wamego PCB Variable Due 2032</v>
      </c>
      <c r="C28" s="1485" t="str">
        <f>'Wrksht. U, LTD Cost 1'!C28</f>
        <v>No</v>
      </c>
      <c r="D28" s="1632">
        <f>'Wrksht. U, LTD Cost 1'!D28</f>
        <v>34452</v>
      </c>
      <c r="E28" s="1480"/>
      <c r="F28" s="1632">
        <f>'Wrksht. U, LTD Cost 1'!F28</f>
        <v>48319</v>
      </c>
      <c r="G28" s="1480"/>
      <c r="H28" s="1663">
        <f>'Wrksht. U, LTD Cost 1'!H28</f>
        <v>30500000</v>
      </c>
      <c r="I28" s="1480"/>
      <c r="J28" s="1635">
        <v>0</v>
      </c>
      <c r="K28" s="1480"/>
      <c r="L28" s="1667">
        <v>-578933</v>
      </c>
      <c r="M28" s="1496"/>
      <c r="N28" s="1496">
        <v>-345021</v>
      </c>
      <c r="O28" s="1496"/>
      <c r="P28" s="1635">
        <f>+H28+J28+L28+N28</f>
        <v>29576046</v>
      </c>
      <c r="Q28" s="1496"/>
      <c r="R28" s="1671">
        <v>3.5628745573770493E-2</v>
      </c>
      <c r="S28" s="1503"/>
      <c r="T28" s="1635">
        <v>-1062276.74</v>
      </c>
      <c r="U28" s="1496"/>
      <c r="V28" s="1504"/>
      <c r="W28" s="1480"/>
      <c r="X28" s="1505">
        <f>'Wrksht. U, LTD Cost 1'!L28</f>
        <v>365</v>
      </c>
      <c r="Y28" s="1480"/>
      <c r="Z28" s="1635">
        <f>-(R28*H28)*X28/365</f>
        <v>-1086676.74</v>
      </c>
      <c r="AA28" s="1503"/>
      <c r="AB28" s="1507">
        <f>R28</f>
        <v>3.5628745573770493E-2</v>
      </c>
    </row>
    <row r="29" spans="1:28">
      <c r="A29" s="594"/>
      <c r="B29" s="1484"/>
      <c r="C29" s="1485"/>
      <c r="D29" s="1632"/>
      <c r="E29" s="1480"/>
      <c r="F29" s="1632"/>
      <c r="G29" s="1480"/>
      <c r="H29" s="1493"/>
      <c r="I29" s="1480"/>
      <c r="J29" s="1493"/>
      <c r="K29" s="1480"/>
      <c r="L29" s="1511"/>
      <c r="M29" s="1511"/>
      <c r="N29" s="1496"/>
      <c r="O29" s="1511"/>
      <c r="P29" s="1493"/>
      <c r="Q29" s="1511"/>
      <c r="R29" s="1503"/>
      <c r="S29" s="1503"/>
      <c r="T29" s="1635"/>
      <c r="U29" s="1511"/>
      <c r="V29" s="1480"/>
      <c r="W29" s="1480"/>
      <c r="X29" s="1505"/>
      <c r="Y29" s="1480"/>
      <c r="Z29" s="1511"/>
      <c r="AA29" s="1503"/>
      <c r="AB29" s="1507"/>
    </row>
    <row r="30" spans="1:28" ht="13.8">
      <c r="A30" s="592"/>
      <c r="B30" s="1651" t="str">
        <f>+'Wrksht. U, LTD Cost 1'!B30</f>
        <v>Evergy Kansas South First Mortgage Bonds</v>
      </c>
      <c r="C30" s="1485"/>
      <c r="D30" s="1632"/>
      <c r="E30" s="1480"/>
      <c r="F30" s="1632"/>
      <c r="G30" s="1480"/>
      <c r="H30" s="1493"/>
      <c r="I30" s="1480"/>
      <c r="J30" s="1493"/>
      <c r="K30" s="1480"/>
      <c r="L30" s="1511"/>
      <c r="M30" s="1511"/>
      <c r="N30" s="1496"/>
      <c r="O30" s="1511"/>
      <c r="P30" s="1493"/>
      <c r="Q30" s="1511"/>
      <c r="R30" s="1503"/>
      <c r="S30" s="1503"/>
      <c r="T30" s="1635"/>
      <c r="U30" s="1511"/>
      <c r="V30" s="1480"/>
      <c r="W30" s="1480"/>
      <c r="X30" s="1505"/>
      <c r="Y30" s="1480"/>
      <c r="Z30" s="1511"/>
      <c r="AA30" s="1503"/>
      <c r="AB30" s="1507"/>
    </row>
    <row r="31" spans="1:28">
      <c r="A31" s="1480" t="str">
        <f>'Wrksht. U, LTD Cost 1'!A31</f>
        <v>(14)</v>
      </c>
      <c r="B31" s="1480" t="str">
        <f>'Wrksht. U, LTD Cost 1'!B31</f>
        <v>KGE 2007 FMB 6.53% Due 2037</v>
      </c>
      <c r="C31" s="1485" t="str">
        <f>'Wrksht. U, LTD Cost 1'!C31</f>
        <v>No</v>
      </c>
      <c r="D31" s="1632">
        <f>'Wrksht. U, LTD Cost 1'!D31</f>
        <v>39370</v>
      </c>
      <c r="E31" s="1480"/>
      <c r="F31" s="1632">
        <f>'Wrksht. U, LTD Cost 1'!F31</f>
        <v>50389</v>
      </c>
      <c r="G31" s="1480"/>
      <c r="H31" s="1493">
        <f>'Wrksht. U, LTD Cost 1'!H31</f>
        <v>175000000</v>
      </c>
      <c r="I31" s="1480"/>
      <c r="J31" s="1493">
        <v>0</v>
      </c>
      <c r="K31" s="1480"/>
      <c r="L31" s="1511">
        <v>-1062273</v>
      </c>
      <c r="M31" s="1511"/>
      <c r="N31" s="1493">
        <v>0</v>
      </c>
      <c r="O31" s="1511"/>
      <c r="P31" s="1493">
        <f>+H31+J31+L31+N31</f>
        <v>173937727</v>
      </c>
      <c r="Q31" s="1511"/>
      <c r="R31" s="1671">
        <v>6.5299999999999997E-2</v>
      </c>
      <c r="S31" s="1503"/>
      <c r="T31" s="1657">
        <f>-R31*'Wrksht. U, LTD Cost 1'!H31</f>
        <v>-11427500</v>
      </c>
      <c r="U31" s="1511"/>
      <c r="V31" s="1504">
        <f>'Wrksht. U, YTM Bonds 1'!$O$14</f>
        <v>6.5756213114187209E-2</v>
      </c>
      <c r="W31" s="1480"/>
      <c r="X31" s="1505">
        <f>'Wrksht. U, LTD Cost 1'!L31</f>
        <v>360</v>
      </c>
      <c r="Y31" s="1480"/>
      <c r="Z31" s="1672">
        <f>-(R31*H31)*X31/360</f>
        <v>-11427500</v>
      </c>
      <c r="AA31" s="1503"/>
      <c r="AB31" s="1507">
        <f>V31</f>
        <v>6.5756213114187209E-2</v>
      </c>
    </row>
    <row r="32" spans="1:28">
      <c r="A32" s="1480" t="str">
        <f>'Wrksht. U, LTD Cost 1'!A32</f>
        <v>(15)</v>
      </c>
      <c r="B32" s="1480" t="str">
        <f>'Wrksht. U, LTD Cost 1'!B32</f>
        <v>KGE 2008 FMB 6.64% Due 2038</v>
      </c>
      <c r="C32" s="1485" t="str">
        <f>'Wrksht. U, LTD Cost 1'!C32</f>
        <v>No</v>
      </c>
      <c r="D32" s="1632">
        <f>'Wrksht. U, LTD Cost 1'!D32</f>
        <v>39583</v>
      </c>
      <c r="E32" s="1480"/>
      <c r="F32" s="1632">
        <f>'Wrksht. U, LTD Cost 1'!F32</f>
        <v>50540</v>
      </c>
      <c r="G32" s="1480"/>
      <c r="H32" s="1663">
        <f>'Wrksht. U, LTD Cost 1'!H32</f>
        <v>100000000</v>
      </c>
      <c r="I32" s="1480"/>
      <c r="J32" s="1635">
        <v>0</v>
      </c>
      <c r="K32" s="1480"/>
      <c r="L32" s="1635">
        <v>175656</v>
      </c>
      <c r="M32" s="1511"/>
      <c r="N32" s="1635">
        <v>0</v>
      </c>
      <c r="O32" s="1511"/>
      <c r="P32" s="1635">
        <f>+H32+J32+L32+N32</f>
        <v>100175656</v>
      </c>
      <c r="Q32" s="1511"/>
      <c r="R32" s="1671">
        <v>6.6400000000000001E-2</v>
      </c>
      <c r="S32" s="1503"/>
      <c r="T32" s="1635">
        <f>-R32*'Wrksht. U, LTD Cost 1'!H32</f>
        <v>-6640000</v>
      </c>
      <c r="U32" s="1511"/>
      <c r="V32" s="1504">
        <f>'Wrksht. U, YTM Bonds 1'!$P$14</f>
        <v>6.6264423353424376E-2</v>
      </c>
      <c r="W32" s="1480"/>
      <c r="X32" s="1505">
        <f>'Wrksht. U, LTD Cost 1'!L32</f>
        <v>360</v>
      </c>
      <c r="Y32" s="1480"/>
      <c r="Z32" s="1635">
        <f>-(R32*H32)*X32/360</f>
        <v>-6640000</v>
      </c>
      <c r="AA32" s="1503"/>
      <c r="AB32" s="1507">
        <f>V32</f>
        <v>6.6264423353424376E-2</v>
      </c>
    </row>
    <row r="33" spans="1:28">
      <c r="A33" s="1480" t="str">
        <f>'Wrksht. U, LTD Cost 1'!A33</f>
        <v>(16)</v>
      </c>
      <c r="B33" s="1480" t="str">
        <f>'Wrksht. U, LTD Cost 1'!B33</f>
        <v>KGE 2014 FMB 4.30% Due 2044</v>
      </c>
      <c r="C33" s="1485" t="str">
        <f>'Wrksht. U, LTD Cost 1'!C33</f>
        <v>No</v>
      </c>
      <c r="D33" s="1632">
        <f>'Wrksht. U, LTD Cost 1'!D33</f>
        <v>41822</v>
      </c>
      <c r="E33" s="1480"/>
      <c r="F33" s="1632">
        <f>'Wrksht. U, LTD Cost 1'!F33</f>
        <v>52793</v>
      </c>
      <c r="G33" s="1480"/>
      <c r="H33" s="1663">
        <f>'Wrksht. U, LTD Cost 1'!H33</f>
        <v>250000000</v>
      </c>
      <c r="I33" s="1480"/>
      <c r="J33" s="1635">
        <v>-632500</v>
      </c>
      <c r="K33" s="1480"/>
      <c r="L33" s="1635">
        <v>-2913582</v>
      </c>
      <c r="M33" s="1511"/>
      <c r="N33" s="1635">
        <v>0</v>
      </c>
      <c r="O33" s="1511"/>
      <c r="P33" s="1635">
        <f>+H33+J33+L33+N33</f>
        <v>246453918</v>
      </c>
      <c r="Q33" s="1511"/>
      <c r="R33" s="1671">
        <v>4.2999999999999997E-2</v>
      </c>
      <c r="S33" s="1503"/>
      <c r="T33" s="1635">
        <f>-R33*'Wrksht. U, LTD Cost 1'!H33</f>
        <v>-10750000</v>
      </c>
      <c r="U33" s="1511"/>
      <c r="V33" s="1504">
        <f>'Wrksht. U, YTM Bonds 1'!$Q$14</f>
        <v>4.3853181131943135E-2</v>
      </c>
      <c r="W33" s="1480"/>
      <c r="X33" s="1505">
        <f>'Wrksht. U, LTD Cost 1'!L33</f>
        <v>360</v>
      </c>
      <c r="Y33" s="1480"/>
      <c r="Z33" s="1635">
        <f>-(R33*H33)*X33/360</f>
        <v>-10750000</v>
      </c>
      <c r="AA33" s="1503"/>
      <c r="AB33" s="1507">
        <f>V33</f>
        <v>4.3853181131943135E-2</v>
      </c>
    </row>
    <row r="34" spans="1:28">
      <c r="A34" s="594"/>
      <c r="B34" s="1480"/>
      <c r="C34" s="1485"/>
      <c r="D34" s="1632"/>
      <c r="E34" s="1480"/>
      <c r="F34" s="1632"/>
      <c r="G34" s="1480"/>
      <c r="H34" s="1493"/>
      <c r="I34" s="1480"/>
      <c r="J34" s="1493"/>
      <c r="K34" s="1480"/>
      <c r="L34" s="1511"/>
      <c r="M34" s="1511"/>
      <c r="N34" s="1496"/>
      <c r="O34" s="1511"/>
      <c r="P34" s="1493"/>
      <c r="Q34" s="1511"/>
      <c r="R34" s="1503"/>
      <c r="S34" s="1503"/>
      <c r="T34" s="1635"/>
      <c r="U34" s="1511"/>
      <c r="V34" s="1480"/>
      <c r="W34" s="1480"/>
      <c r="X34" s="1505"/>
      <c r="Y34" s="1480"/>
      <c r="Z34" s="1511"/>
      <c r="AA34" s="1503"/>
      <c r="AB34" s="1507"/>
    </row>
    <row r="35" spans="1:28" ht="13.8">
      <c r="A35" s="594"/>
      <c r="B35" s="1651" t="str">
        <f>+'Wrksht. U, LTD Cost 1'!B35</f>
        <v>Evergy Kansas South Pollution Control Bonds</v>
      </c>
      <c r="C35" s="1485"/>
      <c r="D35" s="1632"/>
      <c r="E35" s="1480"/>
      <c r="F35" s="1632"/>
      <c r="G35" s="1480"/>
      <c r="H35" s="1493"/>
      <c r="I35" s="1480"/>
      <c r="J35" s="1493"/>
      <c r="K35" s="1480"/>
      <c r="L35" s="1511"/>
      <c r="M35" s="1511"/>
      <c r="N35" s="1496"/>
      <c r="O35" s="1511"/>
      <c r="P35" s="1493"/>
      <c r="Q35" s="1511"/>
      <c r="R35" s="1503"/>
      <c r="S35" s="1503"/>
      <c r="T35" s="1635"/>
      <c r="U35" s="1511"/>
      <c r="V35" s="1480"/>
      <c r="W35" s="1480"/>
      <c r="X35" s="1505"/>
      <c r="Y35" s="1480"/>
      <c r="Z35" s="1511"/>
      <c r="AA35" s="1503"/>
      <c r="AB35" s="1507"/>
    </row>
    <row r="36" spans="1:28">
      <c r="A36" s="1480" t="str">
        <f>'Wrksht. U, LTD Cost 1'!A36</f>
        <v>(17)</v>
      </c>
      <c r="B36" s="1480" t="str">
        <f>'Wrksht. U, LTD Cost 1'!B36</f>
        <v>KGE 1994 La Cygne PCB Variable Due 2027</v>
      </c>
      <c r="C36" s="1485" t="str">
        <f>'Wrksht. U, LTD Cost 1'!C36</f>
        <v>No</v>
      </c>
      <c r="D36" s="1632">
        <f>'Wrksht. U, LTD Cost 1'!D36</f>
        <v>34452</v>
      </c>
      <c r="E36" s="1480"/>
      <c r="F36" s="1632">
        <f>'Wrksht. U, LTD Cost 1'!F36</f>
        <v>46492</v>
      </c>
      <c r="G36" s="1480"/>
      <c r="H36" s="1493">
        <f>'Wrksht. U, LTD Cost 1'!H36</f>
        <v>21940000</v>
      </c>
      <c r="I36" s="1480"/>
      <c r="J36" s="1493">
        <v>0</v>
      </c>
      <c r="K36" s="1480"/>
      <c r="L36" s="1670">
        <v>-406960</v>
      </c>
      <c r="M36" s="1511"/>
      <c r="N36" s="1493">
        <v>-769548</v>
      </c>
      <c r="O36" s="1511"/>
      <c r="P36" s="1493">
        <f>+H36+J36+L36+N36</f>
        <v>20763492</v>
      </c>
      <c r="Q36" s="1511"/>
      <c r="R36" s="1671">
        <v>2.3818087511394713E-2</v>
      </c>
      <c r="S36" s="1503"/>
      <c r="T36" s="1673">
        <v>-505016.84</v>
      </c>
      <c r="U36" s="1511"/>
      <c r="V36" s="1504" t="s">
        <v>476</v>
      </c>
      <c r="W36" s="1480"/>
      <c r="X36" s="1505">
        <f>'Wrksht. U, LTD Cost 1'!L36</f>
        <v>365</v>
      </c>
      <c r="Y36" s="1480"/>
      <c r="Z36" s="1672">
        <f>-(R36*H36)*X36/365</f>
        <v>-522568.84000000008</v>
      </c>
      <c r="AA36" s="1503"/>
      <c r="AB36" s="1507">
        <f>R36</f>
        <v>2.3818087511394713E-2</v>
      </c>
    </row>
    <row r="37" spans="1:28">
      <c r="A37" s="1480" t="str">
        <f>'Wrksht. U, LTD Cost 1'!A37</f>
        <v>(18)</v>
      </c>
      <c r="B37" s="1480" t="str">
        <f>'Wrksht. U, LTD Cost 1'!B37</f>
        <v>KGE 2016 PCB 2.50% Due 2031</v>
      </c>
      <c r="C37" s="1485" t="str">
        <f>'Wrksht. U, LTD Cost 1'!C37</f>
        <v>No</v>
      </c>
      <c r="D37" s="1632">
        <f>'Wrksht. U, LTD Cost 1'!D37</f>
        <v>42522</v>
      </c>
      <c r="E37" s="1480"/>
      <c r="F37" s="1632">
        <f>'Wrksht. U, LTD Cost 1'!F37</f>
        <v>48000</v>
      </c>
      <c r="G37" s="1480"/>
      <c r="H37" s="1663">
        <f>'Wrksht. U, LTD Cost 1'!H37</f>
        <v>50000000</v>
      </c>
      <c r="I37" s="1480"/>
      <c r="J37" s="1635">
        <v>0</v>
      </c>
      <c r="K37" s="1480"/>
      <c r="L37" s="1635">
        <v>-490911.18</v>
      </c>
      <c r="M37" s="1511"/>
      <c r="N37" s="1665">
        <v>-1493458.25</v>
      </c>
      <c r="O37" s="1511"/>
      <c r="P37" s="1635">
        <f>+H37+J37+L37+N37</f>
        <v>48015630.57</v>
      </c>
      <c r="Q37" s="1511"/>
      <c r="R37" s="1671">
        <v>2.5000000000000001E-2</v>
      </c>
      <c r="S37" s="1503"/>
      <c r="T37" s="1665">
        <f>-R37*'Wrksht. U, LTD Cost 1'!H37</f>
        <v>-1250000</v>
      </c>
      <c r="U37" s="1511"/>
      <c r="V37" s="1504">
        <f>'Wrksht. U, YTM Bonds 1'!$R$14</f>
        <v>2.8264590851993378E-2</v>
      </c>
      <c r="W37" s="1480"/>
      <c r="X37" s="1505">
        <f>'Wrksht. U, LTD Cost 1'!L37</f>
        <v>360</v>
      </c>
      <c r="Y37" s="1480"/>
      <c r="Z37" s="1635">
        <f>-(R37*H37)*X37/360</f>
        <v>-1250000</v>
      </c>
      <c r="AA37" s="1503"/>
      <c r="AB37" s="1507">
        <f>V37</f>
        <v>2.8264590851993378E-2</v>
      </c>
    </row>
    <row r="38" spans="1:28">
      <c r="A38" s="1480" t="str">
        <f>'Wrksht. U, LTD Cost 1'!A38</f>
        <v>(19)</v>
      </c>
      <c r="B38" s="1480" t="str">
        <f>'Wrksht. U, LTD Cost 1'!B38</f>
        <v>KGE 1994  St. Marys PCB Variable Due 2032</v>
      </c>
      <c r="C38" s="1485" t="str">
        <f>'Wrksht. U, LTD Cost 1'!C38</f>
        <v>No</v>
      </c>
      <c r="D38" s="1632">
        <f>'Wrksht. U, LTD Cost 1'!D38</f>
        <v>34452</v>
      </c>
      <c r="E38" s="1480"/>
      <c r="F38" s="1632">
        <f>'Wrksht. U, LTD Cost 1'!F38</f>
        <v>48319</v>
      </c>
      <c r="G38" s="1480"/>
      <c r="H38" s="1663">
        <f>'Wrksht. U, LTD Cost 1'!H38</f>
        <v>14500000</v>
      </c>
      <c r="I38" s="1480"/>
      <c r="J38" s="1635">
        <v>0</v>
      </c>
      <c r="K38" s="1480"/>
      <c r="L38" s="1665">
        <v>-297176</v>
      </c>
      <c r="M38" s="1511"/>
      <c r="N38" s="1635">
        <v>-187567</v>
      </c>
      <c r="O38" s="1511"/>
      <c r="P38" s="1635">
        <f>+H38+J38+L38+N38</f>
        <v>14015257</v>
      </c>
      <c r="Q38" s="1511"/>
      <c r="R38" s="1671">
        <v>3.5628747586206898E-2</v>
      </c>
      <c r="S38" s="1503"/>
      <c r="T38" s="1665">
        <v>-505016.84</v>
      </c>
      <c r="U38" s="1511"/>
      <c r="V38" s="1504"/>
      <c r="W38" s="1480"/>
      <c r="X38" s="1505">
        <f>'Wrksht. U, LTD Cost 1'!L38</f>
        <v>365</v>
      </c>
      <c r="Y38" s="1480"/>
      <c r="Z38" s="1635">
        <f>-(R38*H38)*X38/365</f>
        <v>-516616.84000000008</v>
      </c>
      <c r="AA38" s="1503"/>
      <c r="AB38" s="1507">
        <f>R38</f>
        <v>3.5628747586206898E-2</v>
      </c>
    </row>
    <row r="39" spans="1:28">
      <c r="A39" s="1480" t="str">
        <f>'Wrksht. U, LTD Cost 1'!A39</f>
        <v>(20)</v>
      </c>
      <c r="B39" s="1480" t="str">
        <f>'Wrksht. U, LTD Cost 1'!B39</f>
        <v>KGE 1994 Wamego PCB Variable Due 2032</v>
      </c>
      <c r="C39" s="1485" t="str">
        <f>'Wrksht. U, LTD Cost 1'!C39</f>
        <v>No</v>
      </c>
      <c r="D39" s="1632">
        <f>'Wrksht. U, LTD Cost 1'!D39</f>
        <v>34452</v>
      </c>
      <c r="E39" s="1480"/>
      <c r="F39" s="1632">
        <f>'Wrksht. U, LTD Cost 1'!F39</f>
        <v>48319</v>
      </c>
      <c r="G39" s="1480"/>
      <c r="H39" s="1663">
        <f>'Wrksht. U, LTD Cost 1'!H39</f>
        <v>10000000</v>
      </c>
      <c r="I39" s="1480"/>
      <c r="J39" s="1635">
        <v>0</v>
      </c>
      <c r="K39" s="1480"/>
      <c r="L39" s="1665">
        <v>-230702</v>
      </c>
      <c r="M39" s="1511"/>
      <c r="N39" s="1496">
        <v>-121947</v>
      </c>
      <c r="O39" s="1511"/>
      <c r="P39" s="1635">
        <f>+H39+J39+L39+N39</f>
        <v>9647351</v>
      </c>
      <c r="Q39" s="1511"/>
      <c r="R39" s="1671">
        <v>3.5628751E-2</v>
      </c>
      <c r="S39" s="1503"/>
      <c r="T39" s="1674">
        <v>-348287.51</v>
      </c>
      <c r="U39" s="1511"/>
      <c r="V39" s="1504"/>
      <c r="W39" s="1480"/>
      <c r="X39" s="1505">
        <f>'Wrksht. U, LTD Cost 1'!L39</f>
        <v>365</v>
      </c>
      <c r="Y39" s="1480"/>
      <c r="Z39" s="1665">
        <f>-(R39*H39)*X39/365</f>
        <v>-356287.51</v>
      </c>
      <c r="AA39" s="1503"/>
      <c r="AB39" s="1675">
        <f>R39</f>
        <v>3.5628751E-2</v>
      </c>
    </row>
    <row r="40" spans="1:28">
      <c r="A40" s="595"/>
      <c r="B40" s="1480"/>
      <c r="C40" s="1485"/>
      <c r="D40" s="1632"/>
      <c r="E40" s="1480"/>
      <c r="F40" s="1632"/>
      <c r="G40" s="1480"/>
      <c r="H40" s="1635"/>
      <c r="I40" s="1480"/>
      <c r="J40" s="1676"/>
      <c r="K40" s="1677"/>
      <c r="L40" s="1676"/>
      <c r="M40" s="1511"/>
      <c r="N40" s="1635"/>
      <c r="O40" s="1511"/>
      <c r="P40" s="1635"/>
      <c r="Q40" s="1511"/>
      <c r="R40" s="1664"/>
      <c r="S40" s="1480"/>
      <c r="T40" s="1635"/>
      <c r="U40" s="1511"/>
      <c r="V40" s="1678"/>
      <c r="W40" s="1480"/>
      <c r="X40" s="1485"/>
      <c r="Y40" s="1480"/>
      <c r="Z40" s="1635"/>
      <c r="AA40" s="1480"/>
      <c r="AB40" s="1507"/>
    </row>
    <row r="41" spans="1:28" ht="13.8">
      <c r="A41" s="995"/>
      <c r="B41" s="1052" t="s">
        <v>468</v>
      </c>
      <c r="C41" s="991"/>
      <c r="D41" s="1053"/>
      <c r="E41" s="991"/>
      <c r="F41" s="1054"/>
      <c r="G41" s="991"/>
      <c r="H41" s="1055">
        <f>SUM(H14:H39)</f>
        <v>4626940000</v>
      </c>
      <c r="I41" s="991"/>
      <c r="J41" s="1055">
        <f>SUM(J14:J39)</f>
        <v>-19644000</v>
      </c>
      <c r="K41" s="991"/>
      <c r="L41" s="1055">
        <f>SUM(L14:L39)</f>
        <v>-79415835.760000005</v>
      </c>
      <c r="M41" s="1055"/>
      <c r="N41" s="1055">
        <f>SUM(N14:N39)</f>
        <v>-81126333.25</v>
      </c>
      <c r="O41" s="1055"/>
      <c r="P41" s="1055">
        <f>SUM(P14:P39)</f>
        <v>4446753830.9899998</v>
      </c>
      <c r="Q41" s="1055"/>
      <c r="R41" s="991"/>
      <c r="S41" s="1029"/>
      <c r="T41" s="1055">
        <f>SUM(T14:T39)</f>
        <v>-192535391.47136986</v>
      </c>
      <c r="U41" s="1055"/>
      <c r="V41" s="991"/>
      <c r="W41" s="991"/>
      <c r="X41" s="991"/>
      <c r="Y41" s="991"/>
      <c r="Z41" s="1055">
        <f>SUM(Z14:Z39)</f>
        <v>-192632943.47136986</v>
      </c>
      <c r="AA41" s="1029"/>
      <c r="AB41" s="1056"/>
    </row>
    <row r="42" spans="1:28" ht="13.8">
      <c r="A42" s="995"/>
      <c r="B42" s="1057"/>
      <c r="C42" s="991"/>
      <c r="D42" s="1053"/>
      <c r="E42" s="991"/>
      <c r="F42" s="1054"/>
      <c r="G42" s="991"/>
      <c r="H42" s="1055"/>
      <c r="I42" s="991"/>
      <c r="J42" s="1058"/>
      <c r="K42" s="991"/>
      <c r="L42" s="1055"/>
      <c r="M42" s="1055"/>
      <c r="N42" s="1058"/>
      <c r="O42" s="1055"/>
      <c r="P42" s="1027"/>
      <c r="Q42" s="1055"/>
      <c r="R42" s="1029"/>
      <c r="S42" s="1029"/>
      <c r="T42" s="1059"/>
      <c r="U42" s="1055"/>
      <c r="V42" s="991"/>
      <c r="W42" s="991"/>
      <c r="X42" s="1029"/>
      <c r="Y42" s="991"/>
      <c r="Z42" s="1055"/>
      <c r="AA42" s="1029"/>
      <c r="AB42" s="1030"/>
    </row>
    <row r="43" spans="1:28" ht="13.8">
      <c r="A43" s="995"/>
      <c r="B43" s="1057"/>
      <c r="C43" s="1004"/>
      <c r="D43" s="1042"/>
      <c r="E43" s="1004"/>
      <c r="F43" s="1060"/>
      <c r="G43" s="1004"/>
      <c r="H43" s="1061"/>
      <c r="I43" s="1004"/>
      <c r="J43" s="1062"/>
      <c r="K43" s="1004"/>
      <c r="L43" s="1061"/>
      <c r="M43" s="1061"/>
      <c r="N43" s="1061"/>
      <c r="O43" s="1061"/>
      <c r="P43" s="1063"/>
      <c r="Q43" s="1061"/>
      <c r="R43" s="714"/>
      <c r="S43" s="714"/>
      <c r="T43" s="714"/>
      <c r="U43" s="1061"/>
      <c r="V43" s="1004"/>
      <c r="W43" s="1004"/>
      <c r="X43" s="1062"/>
      <c r="Y43" s="1004"/>
      <c r="Z43" s="1064"/>
      <c r="AA43" s="1040"/>
      <c r="AB43" s="1065"/>
    </row>
    <row r="44" spans="1:28" ht="15.6">
      <c r="A44" s="995"/>
      <c r="B44" s="1036" t="s">
        <v>2284</v>
      </c>
      <c r="C44" s="1004"/>
      <c r="D44" s="1042"/>
      <c r="E44" s="1004"/>
      <c r="F44" s="1060"/>
      <c r="G44" s="1004"/>
      <c r="H44" s="1062"/>
      <c r="I44" s="1004"/>
      <c r="J44" s="1062"/>
      <c r="K44" s="1004"/>
      <c r="L44" s="1062"/>
      <c r="M44" s="1062"/>
      <c r="N44" s="1062"/>
      <c r="O44" s="1062"/>
      <c r="P44" s="1062"/>
      <c r="Q44" s="1062"/>
      <c r="R44" s="1062"/>
      <c r="S44" s="1062"/>
      <c r="T44" s="1004"/>
      <c r="U44" s="1004"/>
      <c r="V44" s="1004"/>
      <c r="W44" s="1004"/>
      <c r="X44" s="1062"/>
      <c r="Y44" s="1004"/>
      <c r="Z44" s="1066"/>
      <c r="AA44" s="1040"/>
      <c r="AB44" s="1065"/>
    </row>
    <row r="45" spans="1:28" ht="13.8">
      <c r="A45" s="995"/>
      <c r="B45" s="995" t="s">
        <v>1050</v>
      </c>
      <c r="C45" s="1004"/>
      <c r="D45" s="1042"/>
      <c r="E45" s="1004"/>
      <c r="F45" s="1060"/>
      <c r="G45" s="1004"/>
      <c r="H45" s="1062"/>
      <c r="I45" s="1004"/>
      <c r="J45" s="1062"/>
      <c r="K45" s="1004"/>
      <c r="L45" s="1062"/>
      <c r="M45" s="1062"/>
      <c r="N45" s="1062"/>
      <c r="O45" s="1062"/>
      <c r="P45" s="1062"/>
      <c r="Q45" s="1062"/>
      <c r="R45" s="1062"/>
      <c r="S45" s="1062"/>
      <c r="T45" s="1004"/>
      <c r="U45" s="1004"/>
      <c r="V45" s="1004"/>
      <c r="W45" s="1004"/>
      <c r="X45" s="1062"/>
      <c r="Y45" s="1004"/>
      <c r="Z45" s="1066"/>
      <c r="AA45" s="1040"/>
      <c r="AB45" s="1065"/>
    </row>
    <row r="46" spans="1:28" s="40" customFormat="1" ht="15.6">
      <c r="A46" s="995"/>
      <c r="B46" s="1038" t="s">
        <v>2285</v>
      </c>
      <c r="C46" s="1004"/>
      <c r="D46" s="1004"/>
      <c r="E46" s="1004"/>
      <c r="F46" s="1004"/>
      <c r="G46" s="1004"/>
      <c r="H46" s="1004"/>
      <c r="I46" s="1004"/>
      <c r="J46" s="1004"/>
      <c r="K46" s="1004"/>
      <c r="L46" s="1067"/>
      <c r="M46" s="1067"/>
      <c r="N46" s="1067"/>
      <c r="O46" s="1067"/>
      <c r="P46" s="1067"/>
      <c r="Q46" s="1067"/>
      <c r="R46" s="1067"/>
      <c r="S46" s="1067"/>
      <c r="T46" s="1004"/>
      <c r="U46" s="1004"/>
      <c r="V46" s="1004"/>
      <c r="W46" s="1004"/>
      <c r="X46" s="1004"/>
      <c r="Y46" s="1004"/>
      <c r="Z46" s="1068"/>
      <c r="AA46" s="1004"/>
      <c r="AB46" s="1004"/>
    </row>
    <row r="47" spans="1:28" s="40" customFormat="1" ht="13.8">
      <c r="A47" s="995"/>
      <c r="B47" s="1069" t="s">
        <v>386</v>
      </c>
      <c r="C47" s="1004"/>
      <c r="D47" s="1004"/>
      <c r="E47" s="1004"/>
      <c r="F47" s="1004"/>
      <c r="G47" s="1004"/>
      <c r="H47" s="1004"/>
      <c r="I47" s="1004"/>
      <c r="J47" s="1004"/>
      <c r="K47" s="1004"/>
      <c r="L47" s="1067"/>
      <c r="M47" s="1067"/>
      <c r="N47" s="1067"/>
      <c r="O47" s="1067"/>
      <c r="P47" s="1067"/>
      <c r="Q47" s="1067"/>
      <c r="R47" s="1067"/>
      <c r="S47" s="1067"/>
      <c r="T47" s="1004"/>
      <c r="U47" s="1004"/>
      <c r="V47" s="1004"/>
      <c r="W47" s="1004"/>
      <c r="X47" s="1004"/>
      <c r="Y47" s="1004"/>
      <c r="Z47" s="1068"/>
      <c r="AA47" s="1004"/>
      <c r="AB47" s="1004"/>
    </row>
    <row r="48" spans="1:28" ht="15.6">
      <c r="A48" s="995"/>
      <c r="B48" s="1070" t="s">
        <v>2286</v>
      </c>
      <c r="C48" s="714"/>
      <c r="D48" s="714"/>
      <c r="E48" s="714"/>
      <c r="F48" s="714"/>
      <c r="G48" s="714"/>
      <c r="H48" s="714"/>
      <c r="I48" s="714"/>
      <c r="J48" s="714"/>
      <c r="K48" s="714"/>
      <c r="L48" s="714"/>
      <c r="M48" s="714"/>
      <c r="N48" s="714"/>
      <c r="O48" s="714"/>
      <c r="P48" s="714"/>
      <c r="Q48" s="714"/>
      <c r="R48" s="714"/>
      <c r="S48" s="714"/>
      <c r="T48" s="714"/>
      <c r="U48" s="714"/>
      <c r="V48" s="714"/>
      <c r="W48" s="714"/>
      <c r="X48" s="714"/>
      <c r="Y48" s="714"/>
      <c r="Z48" s="714"/>
      <c r="AA48" s="714"/>
      <c r="AB48" s="995"/>
    </row>
    <row r="49" spans="1:28" ht="15.6">
      <c r="A49" s="995"/>
      <c r="B49" s="1070" t="s">
        <v>2287</v>
      </c>
      <c r="C49" s="714"/>
      <c r="D49" s="714"/>
      <c r="E49" s="714"/>
      <c r="F49" s="714"/>
      <c r="G49" s="714"/>
      <c r="H49" s="714"/>
      <c r="I49" s="714"/>
      <c r="J49" s="714"/>
      <c r="K49" s="714"/>
      <c r="L49" s="714"/>
      <c r="M49" s="714"/>
      <c r="N49" s="714"/>
      <c r="O49" s="714"/>
      <c r="P49" s="714"/>
      <c r="Q49" s="714"/>
      <c r="R49" s="714"/>
      <c r="S49" s="714"/>
      <c r="T49" s="714"/>
      <c r="U49" s="714"/>
      <c r="V49" s="714"/>
      <c r="W49" s="714"/>
      <c r="X49" s="714"/>
      <c r="Y49" s="714"/>
      <c r="Z49" s="714"/>
      <c r="AA49" s="714"/>
      <c r="AB49" s="995"/>
    </row>
    <row r="50" spans="1:28" ht="15.6">
      <c r="A50" s="995"/>
      <c r="B50" s="1070"/>
      <c r="C50" s="714"/>
      <c r="D50" s="714"/>
      <c r="E50" s="714"/>
      <c r="F50" s="714"/>
      <c r="G50" s="714"/>
      <c r="H50" s="714"/>
      <c r="I50" s="714"/>
      <c r="J50" s="1071"/>
      <c r="K50" s="1071"/>
      <c r="L50" s="1071"/>
      <c r="M50" s="714"/>
      <c r="N50" s="714"/>
      <c r="O50" s="714"/>
      <c r="P50" s="714"/>
      <c r="Q50" s="714"/>
      <c r="R50" s="1072"/>
      <c r="S50" s="714"/>
      <c r="T50" s="714"/>
      <c r="U50" s="714"/>
      <c r="V50" s="714"/>
      <c r="W50" s="714"/>
      <c r="X50" s="874"/>
      <c r="Y50" s="714"/>
      <c r="Z50" s="714"/>
      <c r="AA50" s="714"/>
      <c r="AB50" s="995"/>
    </row>
    <row r="51" spans="1:28" ht="15.6">
      <c r="A51" s="995"/>
      <c r="B51" s="1070"/>
      <c r="C51" s="714"/>
      <c r="D51" s="714"/>
      <c r="E51" s="714"/>
      <c r="F51" s="714"/>
      <c r="G51" s="714"/>
      <c r="H51" s="714"/>
      <c r="I51" s="714"/>
      <c r="J51" s="1071"/>
      <c r="K51" s="1071"/>
      <c r="L51" s="1071"/>
      <c r="M51" s="714"/>
      <c r="N51" s="714"/>
      <c r="O51" s="714"/>
      <c r="P51" s="714"/>
      <c r="Q51" s="714"/>
      <c r="R51" s="1072"/>
      <c r="S51" s="714"/>
      <c r="T51" s="714"/>
      <c r="U51" s="714"/>
      <c r="V51" s="714"/>
      <c r="W51" s="714"/>
      <c r="X51" s="872"/>
      <c r="Y51" s="714"/>
      <c r="Z51" s="714"/>
      <c r="AA51" s="714"/>
      <c r="AB51" s="995"/>
    </row>
    <row r="52" spans="1:28" ht="15.6">
      <c r="A52" s="995"/>
      <c r="B52" s="1070"/>
      <c r="C52" s="714"/>
      <c r="D52" s="714"/>
      <c r="E52" s="714"/>
      <c r="F52" s="714"/>
      <c r="G52" s="714"/>
      <c r="H52" s="714"/>
      <c r="I52" s="714"/>
      <c r="J52" s="1071"/>
      <c r="K52" s="1071"/>
      <c r="L52" s="1071"/>
      <c r="M52" s="714"/>
      <c r="N52" s="714"/>
      <c r="O52" s="714"/>
      <c r="P52" s="714"/>
      <c r="Q52" s="714"/>
      <c r="R52" s="1072"/>
      <c r="S52" s="714"/>
      <c r="T52" s="714"/>
      <c r="U52" s="714"/>
      <c r="V52" s="714"/>
      <c r="W52" s="714"/>
      <c r="X52" s="874"/>
      <c r="Y52" s="714"/>
      <c r="Z52" s="714"/>
      <c r="AA52" s="714"/>
      <c r="AB52" s="995"/>
    </row>
    <row r="53" spans="1:28" ht="15.6">
      <c r="A53" s="995"/>
      <c r="B53" s="1070"/>
      <c r="C53" s="714"/>
      <c r="D53" s="714"/>
      <c r="E53" s="714"/>
      <c r="F53" s="714"/>
      <c r="G53" s="714"/>
      <c r="H53" s="714"/>
      <c r="I53" s="714"/>
      <c r="J53" s="1071"/>
      <c r="K53" s="1071"/>
      <c r="L53" s="1071"/>
      <c r="M53" s="714"/>
      <c r="N53" s="714"/>
      <c r="O53" s="714"/>
      <c r="P53" s="714"/>
      <c r="Q53" s="714"/>
      <c r="R53" s="1072"/>
      <c r="S53" s="714"/>
      <c r="T53" s="714"/>
      <c r="U53" s="714"/>
      <c r="V53" s="714"/>
      <c r="W53" s="714"/>
      <c r="X53" s="874"/>
      <c r="Y53" s="714"/>
      <c r="Z53" s="714"/>
      <c r="AA53" s="714"/>
      <c r="AB53" s="995"/>
    </row>
    <row r="54" spans="1:28" ht="15.6">
      <c r="A54" s="995"/>
      <c r="B54" s="1070"/>
      <c r="C54" s="714"/>
      <c r="D54" s="714"/>
      <c r="E54" s="714"/>
      <c r="F54" s="714"/>
      <c r="G54" s="714"/>
      <c r="H54" s="714"/>
      <c r="I54" s="714"/>
      <c r="J54" s="1071"/>
      <c r="K54" s="1071"/>
      <c r="L54" s="1071"/>
      <c r="M54" s="714"/>
      <c r="N54" s="714"/>
      <c r="O54" s="714"/>
      <c r="P54" s="714"/>
      <c r="Q54" s="714"/>
      <c r="R54" s="1072"/>
      <c r="S54" s="714"/>
      <c r="T54" s="714"/>
      <c r="U54" s="714"/>
      <c r="V54" s="714"/>
      <c r="W54" s="714"/>
      <c r="X54" s="872"/>
      <c r="Y54" s="714"/>
      <c r="Z54" s="714"/>
      <c r="AA54" s="714"/>
      <c r="AB54" s="995"/>
    </row>
    <row r="55" spans="1:28" ht="15.6">
      <c r="A55" s="995"/>
      <c r="B55" s="1070"/>
      <c r="C55" s="714"/>
      <c r="D55" s="714"/>
      <c r="E55" s="714"/>
      <c r="F55" s="714"/>
      <c r="G55" s="714"/>
      <c r="H55" s="714"/>
      <c r="I55" s="714"/>
      <c r="J55" s="1071"/>
      <c r="K55" s="714"/>
      <c r="L55" s="714"/>
      <c r="M55" s="714"/>
      <c r="N55" s="714"/>
      <c r="O55" s="714"/>
      <c r="P55" s="714"/>
      <c r="Q55" s="714"/>
      <c r="R55" s="1072"/>
      <c r="S55" s="714"/>
      <c r="T55" s="714"/>
      <c r="U55" s="714"/>
      <c r="V55" s="714"/>
      <c r="W55" s="714"/>
      <c r="X55" s="872"/>
      <c r="Y55" s="714"/>
      <c r="Z55" s="714"/>
      <c r="AA55" s="714"/>
      <c r="AB55" s="995"/>
    </row>
    <row r="56" spans="1:28">
      <c r="J56" s="97"/>
      <c r="L56" s="95"/>
      <c r="X56" s="96"/>
    </row>
    <row r="57" spans="1:28">
      <c r="L57" s="95"/>
    </row>
    <row r="58" spans="1:28">
      <c r="L58" s="95"/>
    </row>
  </sheetData>
  <mergeCells count="2">
    <mergeCell ref="A1:AB1"/>
    <mergeCell ref="A2:AB2"/>
  </mergeCells>
  <phoneticPr fontId="26" type="noConversion"/>
  <printOptions horizontalCentered="1"/>
  <pageMargins left="0.75" right="0.75" top="0.75" bottom="1" header="0.5" footer="0.5"/>
  <pageSetup scale="44" orientation="landscape" r:id="rId1"/>
  <headerFooter alignWithMargins="0">
    <oddHeader>&amp;C&amp;"Times New Roman,Bold"&amp;16ATTACHMENT D, Page &amp;P of &amp;N
EVERGY</oddHeader>
    <oddFooter>&amp;R&amp;1#&amp;"Calibri"&amp;10&amp;KA80000Internal Use Only</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dimension ref="A1:AD87"/>
  <sheetViews>
    <sheetView view="pageBreakPreview" zoomScale="115" zoomScaleNormal="100" zoomScaleSheetLayoutView="115" workbookViewId="0">
      <selection sqref="A1:AB1"/>
    </sheetView>
  </sheetViews>
  <sheetFormatPr defaultRowHeight="13.2"/>
  <cols>
    <col min="1" max="1" width="2.5546875" customWidth="1"/>
    <col min="2" max="2" width="11.6640625" customWidth="1"/>
    <col min="3" max="3" width="1.88671875" customWidth="1"/>
    <col min="4" max="4" width="13.109375" bestFit="1" customWidth="1"/>
    <col min="5" max="6" width="13.109375" customWidth="1"/>
    <col min="7" max="11" width="13.109375" bestFit="1" customWidth="1"/>
    <col min="12" max="12" width="12.109375" bestFit="1" customWidth="1"/>
    <col min="13" max="14" width="12.109375" customWidth="1"/>
    <col min="15" max="16" width="13.109375" bestFit="1" customWidth="1"/>
    <col min="17" max="17" width="13.6640625" customWidth="1"/>
    <col min="18" max="18" width="13.109375" customWidth="1"/>
    <col min="19" max="20" width="2.6640625" customWidth="1"/>
    <col min="21" max="21" width="3" customWidth="1"/>
    <col min="22" max="22" width="12.109375" bestFit="1" customWidth="1"/>
    <col min="23" max="23" width="1.88671875" customWidth="1"/>
    <col min="24" max="24" width="2.5546875" customWidth="1"/>
    <col min="25" max="25" width="11.5546875" customWidth="1"/>
    <col min="26" max="26" width="12.109375" bestFit="1" customWidth="1"/>
    <col min="27" max="32" width="1" customWidth="1"/>
  </cols>
  <sheetData>
    <row r="1" spans="1:30" ht="20.399999999999999">
      <c r="A1" s="1730" t="str">
        <f>'Wrksht. U, LTD Cost 1'!A1:U1</f>
        <v>WORKSHEET U, LTD COST</v>
      </c>
      <c r="B1" s="1730"/>
      <c r="C1" s="1730"/>
      <c r="D1" s="1730"/>
      <c r="E1" s="1730"/>
      <c r="F1" s="1730"/>
      <c r="G1" s="1730"/>
      <c r="H1" s="1730"/>
      <c r="I1" s="1730"/>
      <c r="J1" s="1730"/>
      <c r="K1" s="1730"/>
      <c r="L1" s="1730"/>
      <c r="M1" s="1730"/>
      <c r="N1" s="1730"/>
      <c r="O1" s="1730"/>
      <c r="P1" s="1730"/>
      <c r="Q1" s="1730"/>
      <c r="R1" s="1730"/>
      <c r="S1" s="1730"/>
      <c r="T1" s="1730"/>
      <c r="U1" s="1730"/>
      <c r="V1" s="1730"/>
      <c r="W1" s="1730"/>
      <c r="X1" s="1730"/>
      <c r="Y1" s="1730"/>
      <c r="Z1" s="1730"/>
      <c r="AA1" s="1730"/>
      <c r="AB1" s="1730"/>
    </row>
    <row r="2" spans="1:30" ht="19.2">
      <c r="A2" s="1731" t="str">
        <f>' Net Monthly Bill'!A2:B2</f>
        <v>For Contract Year Beginning June 1, 2024, Based on 2023 Data</v>
      </c>
      <c r="B2" s="1731"/>
      <c r="C2" s="1731"/>
      <c r="D2" s="1731"/>
      <c r="E2" s="1731"/>
      <c r="F2" s="1731"/>
      <c r="G2" s="1731"/>
      <c r="H2" s="1731"/>
      <c r="I2" s="1731"/>
      <c r="J2" s="1731"/>
      <c r="K2" s="1731"/>
      <c r="L2" s="1731"/>
      <c r="M2" s="1731"/>
      <c r="N2" s="1731"/>
      <c r="O2" s="1731"/>
      <c r="P2" s="1731"/>
      <c r="Q2" s="1731"/>
      <c r="R2" s="1731"/>
      <c r="S2" s="1731"/>
      <c r="T2" s="1731"/>
      <c r="U2" s="1731"/>
      <c r="V2" s="1731"/>
      <c r="W2" s="1731"/>
      <c r="X2" s="1731"/>
      <c r="Y2" s="1731"/>
      <c r="Z2" s="1731"/>
      <c r="AA2" s="1731"/>
      <c r="AB2" s="1731"/>
    </row>
    <row r="3" spans="1:30" ht="20.399999999999999">
      <c r="A3" s="1730"/>
      <c r="B3" s="1730"/>
      <c r="C3" s="1730"/>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row>
    <row r="4" spans="1:30" ht="21">
      <c r="A4" s="1784" t="s">
        <v>84</v>
      </c>
      <c r="B4" s="1784"/>
      <c r="C4" s="1784"/>
      <c r="D4" s="1784"/>
      <c r="E4" s="1784"/>
      <c r="F4" s="1784"/>
      <c r="G4" s="1784"/>
      <c r="H4" s="1784"/>
      <c r="I4" s="1784"/>
      <c r="J4" s="1784"/>
      <c r="K4" s="1784"/>
      <c r="L4" s="1784"/>
      <c r="M4" s="1784"/>
      <c r="N4" s="1784"/>
      <c r="O4" s="1784"/>
      <c r="P4" s="1784"/>
      <c r="Q4" s="1784"/>
      <c r="R4" s="1784"/>
      <c r="S4" s="1784"/>
      <c r="T4" s="1784"/>
      <c r="U4" s="1784"/>
      <c r="V4" s="1784"/>
      <c r="W4" s="1784"/>
      <c r="X4" s="1784"/>
      <c r="Y4" s="1784"/>
      <c r="Z4" s="1784"/>
      <c r="AA4" s="1784"/>
      <c r="AB4" s="1784"/>
    </row>
    <row r="5" spans="1:30" ht="15.6">
      <c r="A5" s="1"/>
      <c r="B5" s="372"/>
      <c r="C5" s="372"/>
      <c r="D5" s="1"/>
      <c r="E5" s="1"/>
      <c r="F5" s="1"/>
      <c r="G5" s="1"/>
      <c r="H5" s="1"/>
      <c r="I5" s="1"/>
      <c r="J5" s="1"/>
      <c r="K5" s="1"/>
      <c r="L5" s="1"/>
      <c r="M5" s="1"/>
      <c r="N5" s="1"/>
      <c r="O5" s="1"/>
      <c r="P5" s="1"/>
      <c r="Q5" s="1"/>
      <c r="R5" s="1"/>
      <c r="S5" s="1"/>
      <c r="T5" s="1"/>
      <c r="U5" s="1"/>
      <c r="V5" s="1"/>
      <c r="W5" s="1"/>
      <c r="X5" s="1"/>
      <c r="Y5" s="1"/>
      <c r="Z5" s="1"/>
      <c r="AA5" s="1"/>
    </row>
    <row r="6" spans="1:30" ht="15.6">
      <c r="A6" s="1"/>
      <c r="B6" s="413" t="s">
        <v>874</v>
      </c>
      <c r="C6" s="413"/>
      <c r="D6" s="1"/>
      <c r="E6" s="1"/>
      <c r="F6" s="1"/>
      <c r="G6" s="1"/>
      <c r="H6" s="1"/>
      <c r="I6" s="1"/>
      <c r="J6" s="1"/>
      <c r="K6" s="1"/>
      <c r="L6" s="1"/>
      <c r="M6" s="1"/>
      <c r="N6" s="1"/>
      <c r="O6" s="1"/>
      <c r="P6" s="1"/>
      <c r="Q6" s="1"/>
      <c r="R6" s="1"/>
      <c r="S6" s="1"/>
      <c r="T6" s="1"/>
      <c r="U6" s="1"/>
      <c r="V6" s="1"/>
      <c r="W6" s="1"/>
      <c r="X6" s="1"/>
      <c r="Y6" s="1"/>
      <c r="Z6" s="1"/>
      <c r="AA6" s="1"/>
    </row>
    <row r="7" spans="1:30" ht="15.6">
      <c r="A7" s="1"/>
      <c r="B7" s="413"/>
      <c r="C7" s="413"/>
      <c r="D7" s="1679">
        <v>51926</v>
      </c>
      <c r="E7" s="1679">
        <v>52322</v>
      </c>
      <c r="F7" s="1679">
        <v>52475</v>
      </c>
      <c r="G7" s="1679">
        <v>45992</v>
      </c>
      <c r="H7" s="1679">
        <v>53297</v>
      </c>
      <c r="I7" s="1679">
        <v>46204</v>
      </c>
      <c r="J7" s="1679">
        <v>46478</v>
      </c>
      <c r="K7" s="1679">
        <v>54667</v>
      </c>
      <c r="L7" s="1679">
        <v>54893</v>
      </c>
      <c r="M7" s="1679">
        <v>55958</v>
      </c>
      <c r="N7" s="1679">
        <v>48898</v>
      </c>
      <c r="O7" s="1679">
        <v>50389</v>
      </c>
      <c r="P7" s="1679">
        <v>50540</v>
      </c>
      <c r="Q7" s="1679">
        <v>52793</v>
      </c>
      <c r="R7" s="1679">
        <v>48000</v>
      </c>
      <c r="S7" s="1073"/>
      <c r="T7" s="1073"/>
      <c r="U7" s="1073"/>
      <c r="V7" s="1073"/>
      <c r="W7" s="1073"/>
      <c r="X7" s="1073"/>
      <c r="Y7" s="1073"/>
      <c r="Z7" s="1073"/>
      <c r="AA7" s="1"/>
      <c r="AB7" s="321"/>
      <c r="AD7" s="39"/>
    </row>
    <row r="8" spans="1:30">
      <c r="A8" s="1"/>
      <c r="B8" s="1" t="s">
        <v>1095</v>
      </c>
      <c r="C8" s="1"/>
      <c r="D8" s="1512">
        <f>'Wrksht. U, LTD Cost 1'!$D14</f>
        <v>40969</v>
      </c>
      <c r="E8" s="1512">
        <f>'Wrksht. U, LTD Cost 1'!$D15</f>
        <v>41361</v>
      </c>
      <c r="F8" s="1512">
        <f>'Wrksht. U, LTD Cost 1'!$D16</f>
        <v>41505</v>
      </c>
      <c r="G8" s="1512">
        <f>'Wrksht. U, LTD Cost 1'!$D17</f>
        <v>42321</v>
      </c>
      <c r="H8" s="1512">
        <f>'Wrksht. U, LTD Cost 1'!$D18</f>
        <v>42321</v>
      </c>
      <c r="I8" s="1512">
        <f>'Wrksht. U, LTD Cost 1'!$D19</f>
        <v>42541</v>
      </c>
      <c r="J8" s="1513">
        <f>'Wrksht. U, LTD Cost 1'!$D20</f>
        <v>42800</v>
      </c>
      <c r="K8" s="1512">
        <f>'Wrksht. U, LTD Cost 1'!$D21</f>
        <v>43696</v>
      </c>
      <c r="L8" s="1512">
        <f>'Wrksht. U, LTD Cost 1'!$D22</f>
        <v>43930</v>
      </c>
      <c r="M8" s="1512">
        <f>'Wrksht. U, LTD Cost 1'!$D23</f>
        <v>44999</v>
      </c>
      <c r="N8" s="1512">
        <f>'Wrksht. U, LTD Cost 1'!$D24</f>
        <v>45245</v>
      </c>
      <c r="O8" s="1512">
        <f>'Wrksht. U, LTD Cost 1'!$D31</f>
        <v>39370</v>
      </c>
      <c r="P8" s="1512">
        <f>'Wrksht. U, LTD Cost 1'!$D32</f>
        <v>39583</v>
      </c>
      <c r="Q8" s="1513">
        <f>'Wrksht. U, LTD Cost 1'!$D33</f>
        <v>41822</v>
      </c>
      <c r="R8" s="1513">
        <f>'Wrksht. U, LTD Cost 1'!$D37</f>
        <v>42522</v>
      </c>
      <c r="S8" s="1301"/>
      <c r="T8" s="1074"/>
      <c r="U8" s="1074"/>
      <c r="V8" s="1074"/>
      <c r="W8" s="1074"/>
      <c r="X8" s="1074"/>
      <c r="Y8" s="1074"/>
      <c r="Z8" s="1074"/>
      <c r="AA8" s="415"/>
      <c r="AB8" s="91"/>
      <c r="AD8" s="91"/>
    </row>
    <row r="9" spans="1:30">
      <c r="A9" s="1"/>
      <c r="B9" s="1" t="s">
        <v>697</v>
      </c>
      <c r="C9" s="1"/>
      <c r="D9" s="1514">
        <f>'Wrksht U, LTD Cost 2'!H14</f>
        <v>550000000</v>
      </c>
      <c r="E9" s="1514">
        <f>'Wrksht U, LTD Cost 2'!H15</f>
        <v>430000000</v>
      </c>
      <c r="F9" s="1514">
        <f>'Wrksht U, LTD Cost 2'!H16</f>
        <v>250000000</v>
      </c>
      <c r="G9" s="1514">
        <f>'Wrksht U, LTD Cost 2'!H17</f>
        <v>250000000</v>
      </c>
      <c r="H9" s="1514">
        <f>'Wrksht U, LTD Cost 2'!H18</f>
        <v>300000000</v>
      </c>
      <c r="I9" s="1514">
        <f>'Wrksht U, LTD Cost 2'!H19</f>
        <v>350000000</v>
      </c>
      <c r="J9" s="1514">
        <f>'Wrksht U, LTD Cost 2'!H20</f>
        <v>300000000</v>
      </c>
      <c r="K9" s="1514">
        <f>'Wrksht U, LTD Cost 2'!H21</f>
        <v>300000000</v>
      </c>
      <c r="L9" s="1514">
        <f>'Wrksht U, LTD Cost 2'!H22</f>
        <v>500000000</v>
      </c>
      <c r="M9" s="1514">
        <f>'Wrksht U, LTD Cost 2'!H23</f>
        <v>400000000</v>
      </c>
      <c r="N9" s="1514">
        <f>'Wrksht U, LTD Cost 2'!H24</f>
        <v>300000000</v>
      </c>
      <c r="O9" s="1514">
        <f>'Wrksht U, LTD Cost 2'!H31</f>
        <v>175000000</v>
      </c>
      <c r="P9" s="1514">
        <f>'Wrksht. U, LTD Cost 1'!H32</f>
        <v>100000000</v>
      </c>
      <c r="Q9" s="1515">
        <f>'Wrksht U, LTD Cost 2'!H33</f>
        <v>250000000</v>
      </c>
      <c r="R9" s="1515">
        <f>'Wrksht U, LTD Cost 2'!H37</f>
        <v>50000000</v>
      </c>
      <c r="S9" s="1075"/>
      <c r="T9" s="1075"/>
      <c r="U9" s="1075"/>
      <c r="V9" s="1075"/>
      <c r="W9" s="1075"/>
      <c r="X9" s="1075"/>
      <c r="Y9" s="1075"/>
      <c r="Z9" s="1075"/>
      <c r="AA9" s="416"/>
      <c r="AB9" s="349"/>
      <c r="AD9" s="92"/>
    </row>
    <row r="10" spans="1:30">
      <c r="A10" s="1"/>
      <c r="B10" s="1" t="s">
        <v>698</v>
      </c>
      <c r="C10" s="1"/>
      <c r="D10" s="1516">
        <f>'Wrksht U, LTD Cost 2'!$R14</f>
        <v>4.1250000000000002E-2</v>
      </c>
      <c r="E10" s="1517">
        <f>'Wrksht U, LTD Cost 2'!$R15</f>
        <v>4.1000000000000002E-2</v>
      </c>
      <c r="F10" s="1516">
        <f>'Wrksht U, LTD Cost 2'!$R16</f>
        <v>4.6249999999999999E-2</v>
      </c>
      <c r="G10" s="1517">
        <f>'Wrksht U, LTD Cost 2'!$R17</f>
        <v>3.2500000000000001E-2</v>
      </c>
      <c r="H10" s="1517">
        <f>'Wrksht U, LTD Cost 2'!$R18</f>
        <v>4.2500000000000003E-2</v>
      </c>
      <c r="I10" s="1517">
        <f>'Wrksht U, LTD Cost 2'!$R19</f>
        <v>2.5499999999999998E-2</v>
      </c>
      <c r="J10" s="1517">
        <f>'Wrksht U, LTD Cost 2'!R20</f>
        <v>3.1E-2</v>
      </c>
      <c r="K10" s="1517">
        <f>'Wrksht U, LTD Cost 2'!$R21</f>
        <v>3.2500000000000001E-2</v>
      </c>
      <c r="L10" s="1517">
        <f>'Wrksht U, LTD Cost 2'!$R22</f>
        <v>3.4500000000000003E-2</v>
      </c>
      <c r="M10" s="1517">
        <f>'Wrksht U, LTD Cost 2'!$R23</f>
        <v>5.7000000000000002E-2</v>
      </c>
      <c r="N10" s="1517">
        <f>'Wrksht U, LTD Cost 2'!$R24</f>
        <v>5.8999999999999997E-2</v>
      </c>
      <c r="O10" s="1517">
        <f>'Wrksht U, LTD Cost 2'!$R31</f>
        <v>6.5299999999999997E-2</v>
      </c>
      <c r="P10" s="1517">
        <f>'Wrksht U, LTD Cost 2'!R32</f>
        <v>6.6400000000000001E-2</v>
      </c>
      <c r="Q10" s="1518">
        <f>'Wrksht U, LTD Cost 2'!$R33</f>
        <v>4.2999999999999997E-2</v>
      </c>
      <c r="R10" s="1518">
        <f>'Wrksht U, LTD Cost 2'!$R37</f>
        <v>2.5000000000000001E-2</v>
      </c>
      <c r="S10" s="1076"/>
      <c r="T10" s="1076"/>
      <c r="U10" s="1076"/>
      <c r="V10" s="1076"/>
      <c r="W10" s="1076"/>
      <c r="X10" s="1076"/>
      <c r="Y10" s="1076"/>
      <c r="Z10" s="1076"/>
      <c r="AA10" s="417"/>
      <c r="AB10" s="350"/>
      <c r="AD10" s="93"/>
    </row>
    <row r="11" spans="1:30">
      <c r="A11" s="1"/>
      <c r="B11" s="1" t="s">
        <v>699</v>
      </c>
      <c r="C11" s="1"/>
      <c r="D11" s="1514">
        <f>'Wrksht U, LTD Cost 2'!P14</f>
        <v>511982336</v>
      </c>
      <c r="E11" s="1514">
        <f>+'Wrksht U, LTD Cost 2'!P15-(180000000-2530463-5985000)</f>
        <v>245689125</v>
      </c>
      <c r="F11" s="1514">
        <f>+'Wrksht U, LTD Cost 2'!P16</f>
        <v>246658133</v>
      </c>
      <c r="G11" s="1514">
        <f>'Wrksht U, LTD Cost 2'!P17</f>
        <v>247949597</v>
      </c>
      <c r="H11" s="1514">
        <f>+'Wrksht U, LTD Cost 2'!P18</f>
        <v>233257431</v>
      </c>
      <c r="I11" s="1515">
        <f>+'Wrksht U, LTD Cost 2'!P19</f>
        <v>345238685</v>
      </c>
      <c r="J11" s="1514">
        <f>+'Wrksht U, LTD Cost 2'!P20</f>
        <v>296205083</v>
      </c>
      <c r="K11" s="1514">
        <f>'Wrksht U, LTD Cost 2'!P21</f>
        <v>294168487</v>
      </c>
      <c r="L11" s="1514">
        <f>'Wrksht U, LTD Cost 2'!P22</f>
        <v>477284920</v>
      </c>
      <c r="M11" s="1514">
        <f>'Wrksht U, LTD Cost 2'!P23</f>
        <v>393333678.25</v>
      </c>
      <c r="N11" s="1514">
        <f>'Wrksht U, LTD Cost 2'!P24</f>
        <v>297222720.17000002</v>
      </c>
      <c r="O11" s="1514">
        <f>'Wrksht U, LTD Cost 2'!P31</f>
        <v>173937727</v>
      </c>
      <c r="P11" s="1514">
        <f>'Wrksht U, LTD Cost 2'!P32</f>
        <v>100175656</v>
      </c>
      <c r="Q11" s="1515">
        <f>'Wrksht U, LTD Cost 2'!P33</f>
        <v>246453918</v>
      </c>
      <c r="R11" s="1514">
        <f>'Wrksht U, LTD Cost 2'!P37</f>
        <v>48015630.57</v>
      </c>
      <c r="S11" s="1075"/>
      <c r="T11" s="1075"/>
      <c r="U11" s="1075"/>
      <c r="V11" s="1075"/>
      <c r="W11" s="1075"/>
      <c r="X11" s="1075"/>
      <c r="Y11" s="1075"/>
      <c r="Z11" s="1075"/>
      <c r="AA11" s="416"/>
      <c r="AB11" s="349"/>
      <c r="AC11" s="92"/>
      <c r="AD11" s="92"/>
    </row>
    <row r="12" spans="1:30" s="42" customFormat="1">
      <c r="A12" s="376"/>
      <c r="B12" s="376"/>
      <c r="C12" s="376"/>
      <c r="D12" s="1519"/>
      <c r="E12" s="1515">
        <f>180000000-2530463-5985000</f>
        <v>171484537</v>
      </c>
      <c r="F12" s="1520"/>
      <c r="G12" s="1519"/>
      <c r="H12" s="1519"/>
      <c r="I12" s="1515"/>
      <c r="J12" s="1514"/>
      <c r="K12" s="1519"/>
      <c r="L12" s="1519"/>
      <c r="M12" s="1519"/>
      <c r="N12" s="1519"/>
      <c r="O12" s="1519"/>
      <c r="P12" s="1519"/>
      <c r="Q12" s="1519"/>
      <c r="R12" s="1405"/>
      <c r="S12" s="1077"/>
      <c r="T12" s="1077"/>
      <c r="U12" s="1077"/>
      <c r="V12" s="1077"/>
      <c r="W12" s="1077"/>
      <c r="X12" s="1077"/>
      <c r="Y12" s="1077"/>
      <c r="Z12" s="1077"/>
      <c r="AA12" s="418"/>
      <c r="AB12" s="299"/>
      <c r="AD12" s="283"/>
    </row>
    <row r="13" spans="1:30" s="42" customFormat="1">
      <c r="A13" s="376"/>
      <c r="B13" s="376"/>
      <c r="C13" s="376"/>
      <c r="D13" s="1519"/>
      <c r="E13" s="1521">
        <f>+E11+E12-'Wrksht U, LTD Cost 2'!P15</f>
        <v>0</v>
      </c>
      <c r="F13" s="1521"/>
      <c r="G13" s="1519"/>
      <c r="H13" s="1519"/>
      <c r="I13" s="1519"/>
      <c r="J13" s="1514"/>
      <c r="K13" s="1519"/>
      <c r="L13" s="1519"/>
      <c r="M13" s="1519"/>
      <c r="N13" s="1519"/>
      <c r="O13" s="1519"/>
      <c r="P13" s="1519"/>
      <c r="Q13" s="1519"/>
      <c r="R13" s="1405"/>
      <c r="S13" s="1077"/>
      <c r="T13" s="1077"/>
      <c r="U13" s="1077"/>
      <c r="V13" s="1077"/>
      <c r="W13" s="1077"/>
      <c r="X13" s="1077"/>
      <c r="Y13" s="1077"/>
      <c r="Z13" s="1077"/>
      <c r="AA13" s="418"/>
      <c r="AB13" s="299"/>
      <c r="AD13" s="283"/>
    </row>
    <row r="14" spans="1:30" s="41" customFormat="1">
      <c r="A14" s="419"/>
      <c r="B14" s="376" t="s">
        <v>700</v>
      </c>
      <c r="C14" s="376"/>
      <c r="D14" s="1522">
        <f>YIELD(D8,D7,D10,+D11/D9*100,100,2,1)</f>
        <v>4.5496013665318316E-2</v>
      </c>
      <c r="E14" s="1523">
        <f>YIELD(E8,E7,E10,+(E11+E12)/E9*100,100,2,1)</f>
        <v>4.2773730447840642E-2</v>
      </c>
      <c r="F14" s="1522">
        <f t="shared" ref="F14:R14" si="0">YIELD(F8,F7,F10,+F11/F9*100,100,2,1)</f>
        <v>4.7084905923927979E-2</v>
      </c>
      <c r="G14" s="1522">
        <f t="shared" si="0"/>
        <v>3.346639660565584E-2</v>
      </c>
      <c r="H14" s="1522">
        <f>YIELD(H8,H7,H10,+H11/H9*100,100,2,1)</f>
        <v>5.8268808958201551E-2</v>
      </c>
      <c r="I14" s="1522">
        <f t="shared" si="0"/>
        <v>2.7057170827015781E-2</v>
      </c>
      <c r="J14" s="1519">
        <f t="shared" si="0"/>
        <v>3.248090570423412E-2</v>
      </c>
      <c r="K14" s="1522">
        <f t="shared" si="0"/>
        <v>3.3531388736853712E-2</v>
      </c>
      <c r="L14" s="1522">
        <f t="shared" si="0"/>
        <v>3.7019373651547546E-2</v>
      </c>
      <c r="M14" s="1522">
        <f t="shared" si="0"/>
        <v>5.8180796120342979E-2</v>
      </c>
      <c r="N14" s="1522">
        <f t="shared" si="0"/>
        <v>6.0245927460133478E-2</v>
      </c>
      <c r="O14" s="1522">
        <f t="shared" si="0"/>
        <v>6.5756213114187209E-2</v>
      </c>
      <c r="P14" s="1522">
        <f t="shared" si="0"/>
        <v>6.6264423353424376E-2</v>
      </c>
      <c r="Q14" s="1524">
        <f t="shared" si="0"/>
        <v>4.3853181131943135E-2</v>
      </c>
      <c r="R14" s="1519">
        <f t="shared" si="0"/>
        <v>2.8264590851993378E-2</v>
      </c>
      <c r="S14" s="1078"/>
      <c r="T14" s="1078"/>
      <c r="U14" s="1078"/>
      <c r="V14" s="1078"/>
      <c r="W14" s="1078"/>
      <c r="X14" s="1078"/>
      <c r="Y14" s="1078"/>
      <c r="Z14" s="1078"/>
      <c r="AA14" s="420"/>
      <c r="AB14" s="351"/>
      <c r="AD14" s="94"/>
    </row>
    <row r="15" spans="1:30">
      <c r="A15" s="1"/>
      <c r="B15" s="421" t="s">
        <v>701</v>
      </c>
      <c r="C15" s="421"/>
      <c r="D15" s="1405"/>
      <c r="E15" s="1405"/>
      <c r="F15" s="1405"/>
      <c r="G15" s="1405"/>
      <c r="H15" s="1405"/>
      <c r="I15" s="1405"/>
      <c r="J15" s="1405"/>
      <c r="K15" s="1405"/>
      <c r="L15" s="1405"/>
      <c r="M15" s="1405"/>
      <c r="N15" s="1405"/>
      <c r="O15" s="1405"/>
      <c r="P15" s="1405"/>
      <c r="Q15" s="1405"/>
      <c r="R15" s="1405"/>
      <c r="S15" s="1073"/>
      <c r="T15" s="1073"/>
      <c r="U15" s="1073"/>
      <c r="V15" s="1073"/>
      <c r="W15" s="1073"/>
      <c r="X15" s="1073"/>
      <c r="Y15" s="1073"/>
      <c r="Z15" s="1073"/>
      <c r="AA15" s="1"/>
      <c r="AB15" s="55"/>
    </row>
    <row r="16" spans="1:30">
      <c r="A16" s="1"/>
      <c r="B16" s="1073">
        <v>0</v>
      </c>
      <c r="C16" s="1"/>
      <c r="D16" s="1514">
        <f t="shared" ref="D16:I16" si="1">D11</f>
        <v>511982336</v>
      </c>
      <c r="E16" s="1514">
        <f t="shared" si="1"/>
        <v>245689125</v>
      </c>
      <c r="F16" s="1514">
        <f t="shared" si="1"/>
        <v>246658133</v>
      </c>
      <c r="G16" s="1514">
        <f t="shared" si="1"/>
        <v>247949597</v>
      </c>
      <c r="H16" s="1514">
        <f t="shared" si="1"/>
        <v>233257431</v>
      </c>
      <c r="I16" s="1514">
        <f t="shared" si="1"/>
        <v>345238685</v>
      </c>
      <c r="J16" s="1514">
        <f t="shared" ref="J16:R16" si="2">J11</f>
        <v>296205083</v>
      </c>
      <c r="K16" s="1514">
        <f t="shared" si="2"/>
        <v>294168487</v>
      </c>
      <c r="L16" s="1514">
        <f t="shared" si="2"/>
        <v>477284920</v>
      </c>
      <c r="M16" s="1514">
        <f t="shared" si="2"/>
        <v>393333678.25</v>
      </c>
      <c r="N16" s="1514">
        <f t="shared" si="2"/>
        <v>297222720.17000002</v>
      </c>
      <c r="O16" s="1514">
        <f t="shared" si="2"/>
        <v>173937727</v>
      </c>
      <c r="P16" s="1514">
        <f t="shared" si="2"/>
        <v>100175656</v>
      </c>
      <c r="Q16" s="1515">
        <f t="shared" si="2"/>
        <v>246453918</v>
      </c>
      <c r="R16" s="1514">
        <f t="shared" si="2"/>
        <v>48015630.57</v>
      </c>
      <c r="S16" s="1075"/>
      <c r="T16" s="1075"/>
      <c r="U16" s="1075"/>
      <c r="V16" s="1075"/>
      <c r="W16" s="1075"/>
      <c r="X16" s="1075"/>
      <c r="Y16" s="1079"/>
      <c r="Z16" s="1075"/>
      <c r="AA16" s="416"/>
      <c r="AB16" s="349"/>
      <c r="AC16" s="284"/>
      <c r="AD16" s="92"/>
    </row>
    <row r="17" spans="1:30">
      <c r="A17" s="1"/>
      <c r="B17" s="1073">
        <v>1</v>
      </c>
      <c r="C17" s="1"/>
      <c r="D17" s="1514">
        <f>(-$D$10/2*$D$9)+(300000000*D10*(77/360))</f>
        <v>-8696875</v>
      </c>
      <c r="E17" s="1515">
        <f>-250000000*($E$10/2)</f>
        <v>-5125000</v>
      </c>
      <c r="F17" s="1514">
        <f t="shared" ref="F17:F75" si="3">-$F$9*($F$10/2)</f>
        <v>-5781250</v>
      </c>
      <c r="G17" s="1514">
        <f t="shared" ref="G17:G35" si="4">-$G$9*($G$10/2)</f>
        <v>-4062500</v>
      </c>
      <c r="H17" s="1515">
        <f>-$H$9*($H$10/2)</f>
        <v>-6375000</v>
      </c>
      <c r="I17" s="1515">
        <f>-$I$9*($I$10/2)</f>
        <v>-4462500</v>
      </c>
      <c r="J17" s="1515">
        <f>-$J$9*($J$10/2)</f>
        <v>-4650000</v>
      </c>
      <c r="K17" s="1514">
        <f>-K10/2*K9</f>
        <v>-4875000</v>
      </c>
      <c r="L17" s="1514">
        <f>-L10/2*L9</f>
        <v>-8625000</v>
      </c>
      <c r="M17" s="1514">
        <f>-M10/2*M9</f>
        <v>-11400000</v>
      </c>
      <c r="N17" s="1514">
        <f>-N10/2*N9</f>
        <v>-8850000</v>
      </c>
      <c r="O17" s="1514">
        <f>-O10/2*O9</f>
        <v>-5713750</v>
      </c>
      <c r="P17" s="1514">
        <f t="shared" ref="P17:P75" si="5">-$P$10/2*$P$9</f>
        <v>-3320000</v>
      </c>
      <c r="Q17" s="1515">
        <f>-Q10/2*Q9</f>
        <v>-5375000</v>
      </c>
      <c r="R17" s="1514">
        <f>-R10/2*R9</f>
        <v>-625000</v>
      </c>
      <c r="S17" s="1075"/>
      <c r="T17" s="1075"/>
      <c r="U17" s="1075"/>
      <c r="V17" s="1075"/>
      <c r="W17" s="1075"/>
      <c r="X17" s="1075"/>
      <c r="Y17" s="1079"/>
      <c r="Z17" s="1075"/>
      <c r="AA17" s="416"/>
      <c r="AB17" s="352"/>
      <c r="AC17" s="284"/>
      <c r="AD17" s="118"/>
    </row>
    <row r="18" spans="1:30">
      <c r="A18" s="1"/>
      <c r="B18" s="1073">
        <v>2</v>
      </c>
      <c r="C18" s="1"/>
      <c r="D18" s="1514">
        <f>-$D$10/2*$D$9</f>
        <v>-11343750</v>
      </c>
      <c r="E18" s="1525">
        <f>-250000000*($E$10/2)+E12</f>
        <v>166359537</v>
      </c>
      <c r="F18" s="1525">
        <f t="shared" si="3"/>
        <v>-5781250</v>
      </c>
      <c r="G18" s="1525">
        <f t="shared" si="4"/>
        <v>-4062500</v>
      </c>
      <c r="H18" s="1515">
        <f t="shared" ref="H18:H75" si="6">-$H$9*($H$10/2)</f>
        <v>-6375000</v>
      </c>
      <c r="I18" s="1515">
        <f t="shared" ref="I18:I35" si="7">-$I$9*($I$10/2)</f>
        <v>-4462500</v>
      </c>
      <c r="J18" s="1515">
        <f t="shared" ref="J18:J35" si="8">-$J$9*($J$10/2)</f>
        <v>-4650000</v>
      </c>
      <c r="K18" s="1525">
        <f t="shared" ref="K18:O75" si="9">K17</f>
        <v>-4875000</v>
      </c>
      <c r="L18" s="1525">
        <f>L17</f>
        <v>-8625000</v>
      </c>
      <c r="M18" s="1525">
        <f>M17</f>
        <v>-11400000</v>
      </c>
      <c r="N18" s="1525">
        <f>N17</f>
        <v>-8850000</v>
      </c>
      <c r="O18" s="1525">
        <f>O17</f>
        <v>-5713750</v>
      </c>
      <c r="P18" s="1514">
        <f t="shared" si="5"/>
        <v>-3320000</v>
      </c>
      <c r="Q18" s="1526">
        <f>Q17</f>
        <v>-5375000</v>
      </c>
      <c r="R18" s="1514">
        <f>R17</f>
        <v>-625000</v>
      </c>
      <c r="S18" s="1080"/>
      <c r="T18" s="1080"/>
      <c r="U18" s="1080"/>
      <c r="V18" s="1080"/>
      <c r="W18" s="1080"/>
      <c r="X18" s="1080"/>
      <c r="Y18" s="898"/>
      <c r="Z18" s="1080"/>
      <c r="AA18" s="248"/>
      <c r="AB18" s="352"/>
      <c r="AC18" s="285"/>
      <c r="AD18" s="286"/>
    </row>
    <row r="19" spans="1:30">
      <c r="A19" s="1"/>
      <c r="B19" s="1073">
        <v>3</v>
      </c>
      <c r="C19" s="1"/>
      <c r="D19" s="1514">
        <f>+D18</f>
        <v>-11343750</v>
      </c>
      <c r="E19" s="1525">
        <f>(-250000000*($E$10/2))-(180000000*(E10*(5/12)))</f>
        <v>-8200000</v>
      </c>
      <c r="F19" s="1525">
        <f t="shared" si="3"/>
        <v>-5781250</v>
      </c>
      <c r="G19" s="1525">
        <f t="shared" si="4"/>
        <v>-4062500</v>
      </c>
      <c r="H19" s="1525">
        <f t="shared" si="6"/>
        <v>-6375000</v>
      </c>
      <c r="I19" s="1515">
        <f t="shared" si="7"/>
        <v>-4462500</v>
      </c>
      <c r="J19" s="1515">
        <f t="shared" si="8"/>
        <v>-4650000</v>
      </c>
      <c r="K19" s="1525">
        <f t="shared" si="9"/>
        <v>-4875000</v>
      </c>
      <c r="L19" s="1525">
        <f t="shared" si="9"/>
        <v>-8625000</v>
      </c>
      <c r="M19" s="1525">
        <f t="shared" si="9"/>
        <v>-11400000</v>
      </c>
      <c r="N19" s="1525">
        <f t="shared" si="9"/>
        <v>-8850000</v>
      </c>
      <c r="O19" s="1525">
        <f>O18</f>
        <v>-5713750</v>
      </c>
      <c r="P19" s="1514">
        <f t="shared" si="5"/>
        <v>-3320000</v>
      </c>
      <c r="Q19" s="1526">
        <f t="shared" ref="Q19:R45" si="10">Q18</f>
        <v>-5375000</v>
      </c>
      <c r="R19" s="1514">
        <f t="shared" si="10"/>
        <v>-625000</v>
      </c>
      <c r="S19" s="1080"/>
      <c r="T19" s="1080"/>
      <c r="U19" s="1080"/>
      <c r="V19" s="1080"/>
      <c r="W19" s="1080"/>
      <c r="X19" s="1080"/>
      <c r="Y19" s="898"/>
      <c r="Z19" s="1080"/>
      <c r="AA19" s="248"/>
      <c r="AB19" s="352"/>
      <c r="AC19" s="284"/>
      <c r="AD19" s="286"/>
    </row>
    <row r="20" spans="1:30">
      <c r="A20" s="1"/>
      <c r="B20" s="1073">
        <v>4</v>
      </c>
      <c r="C20" s="1"/>
      <c r="D20" s="1514">
        <f>+D19</f>
        <v>-11343750</v>
      </c>
      <c r="E20" s="1525">
        <f t="shared" ref="E20:E75" si="11">-$E$9*($E$10/2)</f>
        <v>-8815000</v>
      </c>
      <c r="F20" s="1525">
        <f t="shared" si="3"/>
        <v>-5781250</v>
      </c>
      <c r="G20" s="1525">
        <f t="shared" si="4"/>
        <v>-4062500</v>
      </c>
      <c r="H20" s="1525">
        <f t="shared" si="6"/>
        <v>-6375000</v>
      </c>
      <c r="I20" s="1515">
        <f t="shared" si="7"/>
        <v>-4462500</v>
      </c>
      <c r="J20" s="1515">
        <f t="shared" si="8"/>
        <v>-4650000</v>
      </c>
      <c r="K20" s="1525">
        <f t="shared" si="9"/>
        <v>-4875000</v>
      </c>
      <c r="L20" s="1525">
        <f t="shared" si="9"/>
        <v>-8625000</v>
      </c>
      <c r="M20" s="1525">
        <f t="shared" si="9"/>
        <v>-11400000</v>
      </c>
      <c r="N20" s="1525">
        <f t="shared" si="9"/>
        <v>-8850000</v>
      </c>
      <c r="O20" s="1525">
        <f t="shared" si="9"/>
        <v>-5713750</v>
      </c>
      <c r="P20" s="1514">
        <f t="shared" si="5"/>
        <v>-3320000</v>
      </c>
      <c r="Q20" s="1526">
        <f t="shared" si="10"/>
        <v>-5375000</v>
      </c>
      <c r="R20" s="1514">
        <f t="shared" si="10"/>
        <v>-625000</v>
      </c>
      <c r="S20" s="1080"/>
      <c r="T20" s="1080"/>
      <c r="U20" s="1080"/>
      <c r="V20" s="1080"/>
      <c r="W20" s="1080"/>
      <c r="X20" s="1080"/>
      <c r="Y20" s="898"/>
      <c r="Z20" s="1080"/>
      <c r="AA20" s="248"/>
      <c r="AB20" s="352"/>
      <c r="AC20" s="284"/>
      <c r="AD20" s="286"/>
    </row>
    <row r="21" spans="1:30">
      <c r="A21" s="1"/>
      <c r="B21" s="1073">
        <v>5</v>
      </c>
      <c r="C21" s="1"/>
      <c r="D21" s="1514">
        <f t="shared" ref="D21:D75" si="12">+D20</f>
        <v>-11343750</v>
      </c>
      <c r="E21" s="1525">
        <f t="shared" si="11"/>
        <v>-8815000</v>
      </c>
      <c r="F21" s="1525">
        <f t="shared" si="3"/>
        <v>-5781250</v>
      </c>
      <c r="G21" s="1525">
        <f t="shared" si="4"/>
        <v>-4062500</v>
      </c>
      <c r="H21" s="1525">
        <f t="shared" si="6"/>
        <v>-6375000</v>
      </c>
      <c r="I21" s="1515">
        <f t="shared" si="7"/>
        <v>-4462500</v>
      </c>
      <c r="J21" s="1515">
        <f t="shared" si="8"/>
        <v>-4650000</v>
      </c>
      <c r="K21" s="1525">
        <f t="shared" si="9"/>
        <v>-4875000</v>
      </c>
      <c r="L21" s="1525">
        <f t="shared" si="9"/>
        <v>-8625000</v>
      </c>
      <c r="M21" s="1525">
        <f t="shared" si="9"/>
        <v>-11400000</v>
      </c>
      <c r="N21" s="1525">
        <f t="shared" si="9"/>
        <v>-8850000</v>
      </c>
      <c r="O21" s="1525">
        <f t="shared" si="9"/>
        <v>-5713750</v>
      </c>
      <c r="P21" s="1514">
        <f t="shared" si="5"/>
        <v>-3320000</v>
      </c>
      <c r="Q21" s="1526">
        <f t="shared" si="10"/>
        <v>-5375000</v>
      </c>
      <c r="R21" s="1514">
        <f t="shared" si="10"/>
        <v>-625000</v>
      </c>
      <c r="S21" s="1080"/>
      <c r="T21" s="1080"/>
      <c r="U21" s="1080"/>
      <c r="V21" s="1080"/>
      <c r="W21" s="1080"/>
      <c r="X21" s="1080"/>
      <c r="Y21" s="898"/>
      <c r="Z21" s="1080"/>
      <c r="AA21" s="248"/>
      <c r="AB21" s="352"/>
      <c r="AC21" s="285"/>
      <c r="AD21" s="286"/>
    </row>
    <row r="22" spans="1:30">
      <c r="A22" s="1"/>
      <c r="B22" s="1073">
        <v>6</v>
      </c>
      <c r="C22" s="1"/>
      <c r="D22" s="1514">
        <f t="shared" si="12"/>
        <v>-11343750</v>
      </c>
      <c r="E22" s="1525">
        <f t="shared" si="11"/>
        <v>-8815000</v>
      </c>
      <c r="F22" s="1525">
        <f t="shared" si="3"/>
        <v>-5781250</v>
      </c>
      <c r="G22" s="1525">
        <f t="shared" si="4"/>
        <v>-4062500</v>
      </c>
      <c r="H22" s="1525">
        <f t="shared" si="6"/>
        <v>-6375000</v>
      </c>
      <c r="I22" s="1515">
        <f t="shared" si="7"/>
        <v>-4462500</v>
      </c>
      <c r="J22" s="1515">
        <f t="shared" si="8"/>
        <v>-4650000</v>
      </c>
      <c r="K22" s="1525">
        <f t="shared" si="9"/>
        <v>-4875000</v>
      </c>
      <c r="L22" s="1525">
        <f t="shared" si="9"/>
        <v>-8625000</v>
      </c>
      <c r="M22" s="1525">
        <f t="shared" si="9"/>
        <v>-11400000</v>
      </c>
      <c r="N22" s="1525">
        <f t="shared" si="9"/>
        <v>-8850000</v>
      </c>
      <c r="O22" s="1525">
        <f t="shared" si="9"/>
        <v>-5713750</v>
      </c>
      <c r="P22" s="1514">
        <f t="shared" si="5"/>
        <v>-3320000</v>
      </c>
      <c r="Q22" s="1526">
        <f t="shared" si="10"/>
        <v>-5375000</v>
      </c>
      <c r="R22" s="1514">
        <f t="shared" si="10"/>
        <v>-625000</v>
      </c>
      <c r="S22" s="1080"/>
      <c r="T22" s="1080"/>
      <c r="U22" s="1080"/>
      <c r="V22" s="1080"/>
      <c r="W22" s="1080"/>
      <c r="X22" s="1080"/>
      <c r="Y22" s="898"/>
      <c r="Z22" s="1080"/>
      <c r="AA22" s="248"/>
      <c r="AB22" s="352"/>
      <c r="AC22" s="284"/>
      <c r="AD22" s="286"/>
    </row>
    <row r="23" spans="1:30">
      <c r="A23" s="1"/>
      <c r="B23" s="1073">
        <v>7</v>
      </c>
      <c r="C23" s="1"/>
      <c r="D23" s="1514">
        <f t="shared" si="12"/>
        <v>-11343750</v>
      </c>
      <c r="E23" s="1525">
        <f t="shared" si="11"/>
        <v>-8815000</v>
      </c>
      <c r="F23" s="1525">
        <f t="shared" si="3"/>
        <v>-5781250</v>
      </c>
      <c r="G23" s="1525">
        <f t="shared" si="4"/>
        <v>-4062500</v>
      </c>
      <c r="H23" s="1525">
        <f t="shared" si="6"/>
        <v>-6375000</v>
      </c>
      <c r="I23" s="1515">
        <f t="shared" si="7"/>
        <v>-4462500</v>
      </c>
      <c r="J23" s="1515">
        <f t="shared" si="8"/>
        <v>-4650000</v>
      </c>
      <c r="K23" s="1525">
        <f t="shared" si="9"/>
        <v>-4875000</v>
      </c>
      <c r="L23" s="1525">
        <f t="shared" si="9"/>
        <v>-8625000</v>
      </c>
      <c r="M23" s="1525">
        <f t="shared" si="9"/>
        <v>-11400000</v>
      </c>
      <c r="N23" s="1525">
        <f t="shared" si="9"/>
        <v>-8850000</v>
      </c>
      <c r="O23" s="1525">
        <f t="shared" si="9"/>
        <v>-5713750</v>
      </c>
      <c r="P23" s="1514">
        <f t="shared" si="5"/>
        <v>-3320000</v>
      </c>
      <c r="Q23" s="1526">
        <f t="shared" si="10"/>
        <v>-5375000</v>
      </c>
      <c r="R23" s="1514">
        <f t="shared" si="10"/>
        <v>-625000</v>
      </c>
      <c r="S23" s="1080"/>
      <c r="T23" s="1080"/>
      <c r="U23" s="1080"/>
      <c r="V23" s="1080"/>
      <c r="W23" s="1080"/>
      <c r="X23" s="1080"/>
      <c r="Y23" s="898"/>
      <c r="Z23" s="1080"/>
      <c r="AA23" s="248"/>
      <c r="AB23" s="352"/>
      <c r="AC23" s="284"/>
      <c r="AD23" s="286"/>
    </row>
    <row r="24" spans="1:30">
      <c r="A24" s="1"/>
      <c r="B24" s="1073">
        <v>8</v>
      </c>
      <c r="C24" s="1"/>
      <c r="D24" s="1514">
        <f t="shared" si="12"/>
        <v>-11343750</v>
      </c>
      <c r="E24" s="1525">
        <f t="shared" si="11"/>
        <v>-8815000</v>
      </c>
      <c r="F24" s="1525">
        <f t="shared" si="3"/>
        <v>-5781250</v>
      </c>
      <c r="G24" s="1525">
        <f t="shared" si="4"/>
        <v>-4062500</v>
      </c>
      <c r="H24" s="1525">
        <f t="shared" si="6"/>
        <v>-6375000</v>
      </c>
      <c r="I24" s="1515">
        <f t="shared" si="7"/>
        <v>-4462500</v>
      </c>
      <c r="J24" s="1515">
        <f t="shared" si="8"/>
        <v>-4650000</v>
      </c>
      <c r="K24" s="1525">
        <f t="shared" si="9"/>
        <v>-4875000</v>
      </c>
      <c r="L24" s="1525">
        <f t="shared" si="9"/>
        <v>-8625000</v>
      </c>
      <c r="M24" s="1525">
        <f t="shared" si="9"/>
        <v>-11400000</v>
      </c>
      <c r="N24" s="1525">
        <f t="shared" si="9"/>
        <v>-8850000</v>
      </c>
      <c r="O24" s="1525">
        <f t="shared" si="9"/>
        <v>-5713750</v>
      </c>
      <c r="P24" s="1514">
        <f t="shared" si="5"/>
        <v>-3320000</v>
      </c>
      <c r="Q24" s="1526">
        <f t="shared" si="10"/>
        <v>-5375000</v>
      </c>
      <c r="R24" s="1514">
        <f t="shared" si="10"/>
        <v>-625000</v>
      </c>
      <c r="S24" s="1080"/>
      <c r="T24" s="1080"/>
      <c r="U24" s="1080"/>
      <c r="V24" s="1080"/>
      <c r="W24" s="1080"/>
      <c r="X24" s="1080"/>
      <c r="Y24" s="898"/>
      <c r="Z24" s="1080"/>
      <c r="AA24" s="248"/>
      <c r="AB24" s="352"/>
      <c r="AC24" s="285"/>
      <c r="AD24" s="286"/>
    </row>
    <row r="25" spans="1:30">
      <c r="A25" s="1"/>
      <c r="B25" s="1073">
        <v>9</v>
      </c>
      <c r="C25" s="1"/>
      <c r="D25" s="1514">
        <f t="shared" si="12"/>
        <v>-11343750</v>
      </c>
      <c r="E25" s="1525">
        <f t="shared" si="11"/>
        <v>-8815000</v>
      </c>
      <c r="F25" s="1525">
        <f t="shared" si="3"/>
        <v>-5781250</v>
      </c>
      <c r="G25" s="1525">
        <f t="shared" si="4"/>
        <v>-4062500</v>
      </c>
      <c r="H25" s="1525">
        <f t="shared" si="6"/>
        <v>-6375000</v>
      </c>
      <c r="I25" s="1515">
        <f t="shared" si="7"/>
        <v>-4462500</v>
      </c>
      <c r="J25" s="1515">
        <f t="shared" si="8"/>
        <v>-4650000</v>
      </c>
      <c r="K25" s="1525">
        <f t="shared" si="9"/>
        <v>-4875000</v>
      </c>
      <c r="L25" s="1525">
        <f t="shared" si="9"/>
        <v>-8625000</v>
      </c>
      <c r="M25" s="1525">
        <f t="shared" si="9"/>
        <v>-11400000</v>
      </c>
      <c r="N25" s="1525">
        <f t="shared" si="9"/>
        <v>-8850000</v>
      </c>
      <c r="O25" s="1525">
        <f t="shared" si="9"/>
        <v>-5713750</v>
      </c>
      <c r="P25" s="1514">
        <f t="shared" si="5"/>
        <v>-3320000</v>
      </c>
      <c r="Q25" s="1526">
        <f t="shared" si="10"/>
        <v>-5375000</v>
      </c>
      <c r="R25" s="1514">
        <f t="shared" si="10"/>
        <v>-625000</v>
      </c>
      <c r="S25" s="1080"/>
      <c r="T25" s="1080"/>
      <c r="U25" s="1080"/>
      <c r="V25" s="1080"/>
      <c r="W25" s="1080"/>
      <c r="X25" s="1080"/>
      <c r="Y25" s="898"/>
      <c r="Z25" s="1080"/>
      <c r="AA25" s="248"/>
      <c r="AB25" s="352"/>
      <c r="AC25" s="284"/>
      <c r="AD25" s="286"/>
    </row>
    <row r="26" spans="1:30">
      <c r="A26" s="1"/>
      <c r="B26" s="1073">
        <v>10</v>
      </c>
      <c r="C26" s="1"/>
      <c r="D26" s="1514">
        <f t="shared" si="12"/>
        <v>-11343750</v>
      </c>
      <c r="E26" s="1525">
        <f t="shared" si="11"/>
        <v>-8815000</v>
      </c>
      <c r="F26" s="1525">
        <f t="shared" si="3"/>
        <v>-5781250</v>
      </c>
      <c r="G26" s="1525">
        <f t="shared" si="4"/>
        <v>-4062500</v>
      </c>
      <c r="H26" s="1525">
        <f t="shared" si="6"/>
        <v>-6375000</v>
      </c>
      <c r="I26" s="1515">
        <f t="shared" si="7"/>
        <v>-4462500</v>
      </c>
      <c r="J26" s="1515">
        <f t="shared" si="8"/>
        <v>-4650000</v>
      </c>
      <c r="K26" s="1525">
        <f t="shared" si="9"/>
        <v>-4875000</v>
      </c>
      <c r="L26" s="1525">
        <f t="shared" si="9"/>
        <v>-8625000</v>
      </c>
      <c r="M26" s="1525">
        <f t="shared" si="9"/>
        <v>-11400000</v>
      </c>
      <c r="N26" s="1525">
        <f t="shared" si="9"/>
        <v>-8850000</v>
      </c>
      <c r="O26" s="1525">
        <f t="shared" si="9"/>
        <v>-5713750</v>
      </c>
      <c r="P26" s="1514">
        <f t="shared" si="5"/>
        <v>-3320000</v>
      </c>
      <c r="Q26" s="1526">
        <f t="shared" si="10"/>
        <v>-5375000</v>
      </c>
      <c r="R26" s="1514">
        <f t="shared" si="10"/>
        <v>-625000</v>
      </c>
      <c r="S26" s="1080"/>
      <c r="T26" s="1080"/>
      <c r="U26" s="1080"/>
      <c r="V26" s="1080"/>
      <c r="W26" s="1080"/>
      <c r="X26" s="1080"/>
      <c r="Y26" s="1080"/>
      <c r="Z26" s="1080"/>
      <c r="AA26" s="248"/>
      <c r="AB26" s="352"/>
      <c r="AC26" s="284"/>
      <c r="AD26" s="286"/>
    </row>
    <row r="27" spans="1:30">
      <c r="A27" s="1"/>
      <c r="B27" s="1073">
        <v>11</v>
      </c>
      <c r="C27" s="1"/>
      <c r="D27" s="1514">
        <f t="shared" si="12"/>
        <v>-11343750</v>
      </c>
      <c r="E27" s="1525">
        <f t="shared" si="11"/>
        <v>-8815000</v>
      </c>
      <c r="F27" s="1525">
        <f t="shared" si="3"/>
        <v>-5781250</v>
      </c>
      <c r="G27" s="1525">
        <f t="shared" si="4"/>
        <v>-4062500</v>
      </c>
      <c r="H27" s="1525">
        <f t="shared" si="6"/>
        <v>-6375000</v>
      </c>
      <c r="I27" s="1515">
        <f t="shared" si="7"/>
        <v>-4462500</v>
      </c>
      <c r="J27" s="1515">
        <f t="shared" si="8"/>
        <v>-4650000</v>
      </c>
      <c r="K27" s="1525">
        <f t="shared" si="9"/>
        <v>-4875000</v>
      </c>
      <c r="L27" s="1525">
        <f t="shared" si="9"/>
        <v>-8625000</v>
      </c>
      <c r="M27" s="1525">
        <f t="shared" si="9"/>
        <v>-11400000</v>
      </c>
      <c r="N27" s="1525">
        <f t="shared" si="9"/>
        <v>-8850000</v>
      </c>
      <c r="O27" s="1525">
        <f t="shared" si="9"/>
        <v>-5713750</v>
      </c>
      <c r="P27" s="1514">
        <f t="shared" si="5"/>
        <v>-3320000</v>
      </c>
      <c r="Q27" s="1526">
        <f t="shared" si="10"/>
        <v>-5375000</v>
      </c>
      <c r="R27" s="1514">
        <f t="shared" si="10"/>
        <v>-625000</v>
      </c>
      <c r="S27" s="1080"/>
      <c r="T27" s="1080"/>
      <c r="U27" s="1080"/>
      <c r="V27" s="1080"/>
      <c r="W27" s="1080"/>
      <c r="X27" s="1080"/>
      <c r="Y27" s="1080"/>
      <c r="Z27" s="1080"/>
      <c r="AA27" s="248"/>
      <c r="AB27" s="352"/>
      <c r="AC27" s="285"/>
      <c r="AD27" s="286"/>
    </row>
    <row r="28" spans="1:30">
      <c r="A28" s="1"/>
      <c r="B28" s="1073">
        <v>12</v>
      </c>
      <c r="C28" s="1"/>
      <c r="D28" s="1514">
        <f t="shared" si="12"/>
        <v>-11343750</v>
      </c>
      <c r="E28" s="1525">
        <f t="shared" si="11"/>
        <v>-8815000</v>
      </c>
      <c r="F28" s="1525">
        <f t="shared" si="3"/>
        <v>-5781250</v>
      </c>
      <c r="G28" s="1525">
        <f t="shared" si="4"/>
        <v>-4062500</v>
      </c>
      <c r="H28" s="1525">
        <f t="shared" si="6"/>
        <v>-6375000</v>
      </c>
      <c r="I28" s="1515">
        <f t="shared" si="7"/>
        <v>-4462500</v>
      </c>
      <c r="J28" s="1515">
        <f t="shared" si="8"/>
        <v>-4650000</v>
      </c>
      <c r="K28" s="1525">
        <f t="shared" si="9"/>
        <v>-4875000</v>
      </c>
      <c r="L28" s="1525">
        <f t="shared" si="9"/>
        <v>-8625000</v>
      </c>
      <c r="M28" s="1525">
        <f t="shared" si="9"/>
        <v>-11400000</v>
      </c>
      <c r="N28" s="1525">
        <f t="shared" si="9"/>
        <v>-8850000</v>
      </c>
      <c r="O28" s="1525">
        <f t="shared" si="9"/>
        <v>-5713750</v>
      </c>
      <c r="P28" s="1514">
        <f t="shared" si="5"/>
        <v>-3320000</v>
      </c>
      <c r="Q28" s="1526">
        <f t="shared" si="10"/>
        <v>-5375000</v>
      </c>
      <c r="R28" s="1514">
        <f t="shared" si="10"/>
        <v>-625000</v>
      </c>
      <c r="S28" s="1080"/>
      <c r="T28" s="1080"/>
      <c r="U28" s="1080"/>
      <c r="V28" s="1080"/>
      <c r="W28" s="1080"/>
      <c r="X28" s="1080"/>
      <c r="Y28" s="1080"/>
      <c r="Z28" s="1080"/>
      <c r="AA28" s="248"/>
      <c r="AB28" s="352"/>
      <c r="AC28" s="284"/>
      <c r="AD28" s="286"/>
    </row>
    <row r="29" spans="1:30">
      <c r="A29" s="1"/>
      <c r="B29" s="1073">
        <v>13</v>
      </c>
      <c r="C29" s="1"/>
      <c r="D29" s="1514">
        <f t="shared" si="12"/>
        <v>-11343750</v>
      </c>
      <c r="E29" s="1525">
        <f t="shared" si="11"/>
        <v>-8815000</v>
      </c>
      <c r="F29" s="1525">
        <f t="shared" si="3"/>
        <v>-5781250</v>
      </c>
      <c r="G29" s="1525">
        <f t="shared" si="4"/>
        <v>-4062500</v>
      </c>
      <c r="H29" s="1525">
        <f t="shared" si="6"/>
        <v>-6375000</v>
      </c>
      <c r="I29" s="1515">
        <f t="shared" si="7"/>
        <v>-4462500</v>
      </c>
      <c r="J29" s="1515">
        <f t="shared" si="8"/>
        <v>-4650000</v>
      </c>
      <c r="K29" s="1525">
        <f t="shared" si="9"/>
        <v>-4875000</v>
      </c>
      <c r="L29" s="1525">
        <f t="shared" si="9"/>
        <v>-8625000</v>
      </c>
      <c r="M29" s="1525">
        <f t="shared" si="9"/>
        <v>-11400000</v>
      </c>
      <c r="N29" s="1525">
        <f t="shared" si="9"/>
        <v>-8850000</v>
      </c>
      <c r="O29" s="1525">
        <f t="shared" si="9"/>
        <v>-5713750</v>
      </c>
      <c r="P29" s="1514">
        <f t="shared" si="5"/>
        <v>-3320000</v>
      </c>
      <c r="Q29" s="1526">
        <f t="shared" si="10"/>
        <v>-5375000</v>
      </c>
      <c r="R29" s="1514">
        <f t="shared" si="10"/>
        <v>-625000</v>
      </c>
      <c r="S29" s="1080"/>
      <c r="T29" s="1080"/>
      <c r="U29" s="1080"/>
      <c r="V29" s="1080"/>
      <c r="W29" s="1080"/>
      <c r="X29" s="1080"/>
      <c r="Y29" s="1080"/>
      <c r="Z29" s="1080"/>
      <c r="AA29" s="248"/>
      <c r="AB29" s="352"/>
      <c r="AC29" s="284"/>
      <c r="AD29" s="286"/>
    </row>
    <row r="30" spans="1:30">
      <c r="A30" s="1"/>
      <c r="B30" s="1073">
        <v>14</v>
      </c>
      <c r="C30" s="1"/>
      <c r="D30" s="1514">
        <f t="shared" si="12"/>
        <v>-11343750</v>
      </c>
      <c r="E30" s="1525">
        <f t="shared" si="11"/>
        <v>-8815000</v>
      </c>
      <c r="F30" s="1525">
        <f t="shared" si="3"/>
        <v>-5781250</v>
      </c>
      <c r="G30" s="1525">
        <f t="shared" si="4"/>
        <v>-4062500</v>
      </c>
      <c r="H30" s="1525">
        <f t="shared" si="6"/>
        <v>-6375000</v>
      </c>
      <c r="I30" s="1515">
        <f t="shared" si="7"/>
        <v>-4462500</v>
      </c>
      <c r="J30" s="1515">
        <f t="shared" si="8"/>
        <v>-4650000</v>
      </c>
      <c r="K30" s="1525">
        <f t="shared" si="9"/>
        <v>-4875000</v>
      </c>
      <c r="L30" s="1525">
        <f t="shared" si="9"/>
        <v>-8625000</v>
      </c>
      <c r="M30" s="1525">
        <f t="shared" si="9"/>
        <v>-11400000</v>
      </c>
      <c r="N30" s="1525">
        <f t="shared" si="9"/>
        <v>-8850000</v>
      </c>
      <c r="O30" s="1525">
        <f t="shared" si="9"/>
        <v>-5713750</v>
      </c>
      <c r="P30" s="1514">
        <f t="shared" si="5"/>
        <v>-3320000</v>
      </c>
      <c r="Q30" s="1526">
        <f t="shared" si="10"/>
        <v>-5375000</v>
      </c>
      <c r="R30" s="1514">
        <f t="shared" si="10"/>
        <v>-625000</v>
      </c>
      <c r="S30" s="1080"/>
      <c r="T30" s="1080"/>
      <c r="U30" s="1080"/>
      <c r="V30" s="1080"/>
      <c r="W30" s="1080"/>
      <c r="X30" s="1080"/>
      <c r="Y30" s="1080"/>
      <c r="Z30" s="1080"/>
      <c r="AA30" s="248"/>
      <c r="AB30" s="352"/>
      <c r="AC30" s="285"/>
      <c r="AD30" s="286"/>
    </row>
    <row r="31" spans="1:30">
      <c r="A31" s="1"/>
      <c r="B31" s="1073">
        <v>15</v>
      </c>
      <c r="C31" s="1"/>
      <c r="D31" s="1514">
        <f t="shared" si="12"/>
        <v>-11343750</v>
      </c>
      <c r="E31" s="1525">
        <f t="shared" si="11"/>
        <v>-8815000</v>
      </c>
      <c r="F31" s="1525">
        <f t="shared" si="3"/>
        <v>-5781250</v>
      </c>
      <c r="G31" s="1525">
        <f t="shared" si="4"/>
        <v>-4062500</v>
      </c>
      <c r="H31" s="1525">
        <f t="shared" si="6"/>
        <v>-6375000</v>
      </c>
      <c r="I31" s="1515">
        <f t="shared" si="7"/>
        <v>-4462500</v>
      </c>
      <c r="J31" s="1515">
        <f t="shared" si="8"/>
        <v>-4650000</v>
      </c>
      <c r="K31" s="1525">
        <f t="shared" si="9"/>
        <v>-4875000</v>
      </c>
      <c r="L31" s="1525">
        <f t="shared" si="9"/>
        <v>-8625000</v>
      </c>
      <c r="M31" s="1525">
        <f t="shared" si="9"/>
        <v>-11400000</v>
      </c>
      <c r="N31" s="1525">
        <f t="shared" si="9"/>
        <v>-8850000</v>
      </c>
      <c r="O31" s="1525">
        <f t="shared" si="9"/>
        <v>-5713750</v>
      </c>
      <c r="P31" s="1514">
        <f t="shared" si="5"/>
        <v>-3320000</v>
      </c>
      <c r="Q31" s="1526">
        <f t="shared" si="10"/>
        <v>-5375000</v>
      </c>
      <c r="R31" s="1514">
        <f t="shared" si="10"/>
        <v>-625000</v>
      </c>
      <c r="S31" s="1080"/>
      <c r="T31" s="1080"/>
      <c r="U31" s="1080"/>
      <c r="V31" s="1080"/>
      <c r="W31" s="1080"/>
      <c r="X31" s="1080"/>
      <c r="Y31" s="1080"/>
      <c r="Z31" s="1080"/>
      <c r="AA31" s="248"/>
      <c r="AB31" s="352"/>
      <c r="AC31" s="284"/>
      <c r="AD31" s="286"/>
    </row>
    <row r="32" spans="1:30">
      <c r="A32" s="1"/>
      <c r="B32" s="1073">
        <v>16</v>
      </c>
      <c r="C32" s="1"/>
      <c r="D32" s="1514">
        <f t="shared" si="12"/>
        <v>-11343750</v>
      </c>
      <c r="E32" s="1525">
        <f t="shared" si="11"/>
        <v>-8815000</v>
      </c>
      <c r="F32" s="1525">
        <f t="shared" si="3"/>
        <v>-5781250</v>
      </c>
      <c r="G32" s="1525">
        <f t="shared" si="4"/>
        <v>-4062500</v>
      </c>
      <c r="H32" s="1525">
        <f t="shared" si="6"/>
        <v>-6375000</v>
      </c>
      <c r="I32" s="1515">
        <f t="shared" si="7"/>
        <v>-4462500</v>
      </c>
      <c r="J32" s="1515">
        <f t="shared" si="8"/>
        <v>-4650000</v>
      </c>
      <c r="K32" s="1525">
        <f t="shared" si="9"/>
        <v>-4875000</v>
      </c>
      <c r="L32" s="1525">
        <f t="shared" si="9"/>
        <v>-8625000</v>
      </c>
      <c r="M32" s="1525">
        <f t="shared" si="9"/>
        <v>-11400000</v>
      </c>
      <c r="N32" s="1525">
        <f t="shared" si="9"/>
        <v>-8850000</v>
      </c>
      <c r="O32" s="1525">
        <f t="shared" si="9"/>
        <v>-5713750</v>
      </c>
      <c r="P32" s="1514">
        <f t="shared" si="5"/>
        <v>-3320000</v>
      </c>
      <c r="Q32" s="1526">
        <f t="shared" si="10"/>
        <v>-5375000</v>
      </c>
      <c r="R32" s="1514">
        <f t="shared" si="10"/>
        <v>-625000</v>
      </c>
      <c r="S32" s="1080"/>
      <c r="T32" s="1080"/>
      <c r="U32" s="1080"/>
      <c r="V32" s="1080"/>
      <c r="W32" s="1080"/>
      <c r="X32" s="1080"/>
      <c r="Y32" s="1080"/>
      <c r="Z32" s="1080"/>
      <c r="AA32" s="248"/>
      <c r="AB32" s="352"/>
      <c r="AC32" s="284"/>
      <c r="AD32" s="286"/>
    </row>
    <row r="33" spans="1:30">
      <c r="A33" s="1"/>
      <c r="B33" s="1073">
        <v>17</v>
      </c>
      <c r="C33" s="1"/>
      <c r="D33" s="1514">
        <f t="shared" si="12"/>
        <v>-11343750</v>
      </c>
      <c r="E33" s="1525">
        <f>-$E$9*($E$10/2)</f>
        <v>-8815000</v>
      </c>
      <c r="F33" s="1525">
        <f t="shared" si="3"/>
        <v>-5781250</v>
      </c>
      <c r="G33" s="1525">
        <f t="shared" si="4"/>
        <v>-4062500</v>
      </c>
      <c r="H33" s="1525">
        <f t="shared" si="6"/>
        <v>-6375000</v>
      </c>
      <c r="I33" s="1515">
        <f t="shared" si="7"/>
        <v>-4462500</v>
      </c>
      <c r="J33" s="1515">
        <f t="shared" si="8"/>
        <v>-4650000</v>
      </c>
      <c r="K33" s="1525">
        <f t="shared" si="9"/>
        <v>-4875000</v>
      </c>
      <c r="L33" s="1525">
        <f t="shared" si="9"/>
        <v>-8625000</v>
      </c>
      <c r="M33" s="1525">
        <f t="shared" si="9"/>
        <v>-11400000</v>
      </c>
      <c r="N33" s="1525">
        <f t="shared" si="9"/>
        <v>-8850000</v>
      </c>
      <c r="O33" s="1525">
        <f t="shared" si="9"/>
        <v>-5713750</v>
      </c>
      <c r="P33" s="1514">
        <f t="shared" si="5"/>
        <v>-3320000</v>
      </c>
      <c r="Q33" s="1526">
        <f t="shared" si="10"/>
        <v>-5375000</v>
      </c>
      <c r="R33" s="1514">
        <f t="shared" si="10"/>
        <v>-625000</v>
      </c>
      <c r="S33" s="1080"/>
      <c r="T33" s="1080"/>
      <c r="U33" s="1080"/>
      <c r="V33" s="1080"/>
      <c r="W33" s="1080"/>
      <c r="X33" s="1080"/>
      <c r="Y33" s="1080"/>
      <c r="Z33" s="1080"/>
      <c r="AA33" s="248"/>
      <c r="AB33" s="352"/>
      <c r="AC33" s="285"/>
      <c r="AD33" s="286"/>
    </row>
    <row r="34" spans="1:30">
      <c r="A34" s="1"/>
      <c r="B34" s="1073">
        <v>18</v>
      </c>
      <c r="C34" s="1"/>
      <c r="D34" s="1514">
        <f t="shared" si="12"/>
        <v>-11343750</v>
      </c>
      <c r="E34" s="1525">
        <f t="shared" si="11"/>
        <v>-8815000</v>
      </c>
      <c r="F34" s="1525">
        <f t="shared" si="3"/>
        <v>-5781250</v>
      </c>
      <c r="G34" s="1525">
        <f t="shared" si="4"/>
        <v>-4062500</v>
      </c>
      <c r="H34" s="1525">
        <f t="shared" si="6"/>
        <v>-6375000</v>
      </c>
      <c r="I34" s="1515">
        <f t="shared" si="7"/>
        <v>-4462500</v>
      </c>
      <c r="J34" s="1515">
        <f t="shared" si="8"/>
        <v>-4650000</v>
      </c>
      <c r="K34" s="1525">
        <f t="shared" si="9"/>
        <v>-4875000</v>
      </c>
      <c r="L34" s="1525">
        <f t="shared" si="9"/>
        <v>-8625000</v>
      </c>
      <c r="M34" s="1525">
        <f t="shared" si="9"/>
        <v>-11400000</v>
      </c>
      <c r="N34" s="1525">
        <f t="shared" si="9"/>
        <v>-8850000</v>
      </c>
      <c r="O34" s="1525">
        <f t="shared" si="9"/>
        <v>-5713750</v>
      </c>
      <c r="P34" s="1514">
        <f t="shared" si="5"/>
        <v>-3320000</v>
      </c>
      <c r="Q34" s="1526">
        <f t="shared" si="10"/>
        <v>-5375000</v>
      </c>
      <c r="R34" s="1514">
        <f t="shared" si="10"/>
        <v>-625000</v>
      </c>
      <c r="S34" s="1080"/>
      <c r="T34" s="1080"/>
      <c r="U34" s="1080"/>
      <c r="V34" s="1080"/>
      <c r="W34" s="1080"/>
      <c r="X34" s="1080"/>
      <c r="Y34" s="1080"/>
      <c r="Z34" s="1080"/>
      <c r="AA34" s="248"/>
      <c r="AB34" s="352"/>
      <c r="AC34" s="284"/>
      <c r="AD34" s="286"/>
    </row>
    <row r="35" spans="1:30">
      <c r="A35" s="1"/>
      <c r="B35" s="1073">
        <v>19</v>
      </c>
      <c r="C35" s="1"/>
      <c r="D35" s="1514">
        <f t="shared" si="12"/>
        <v>-11343750</v>
      </c>
      <c r="E35" s="1525">
        <f t="shared" si="11"/>
        <v>-8815000</v>
      </c>
      <c r="F35" s="1525">
        <f t="shared" si="3"/>
        <v>-5781250</v>
      </c>
      <c r="G35" s="1526">
        <f t="shared" si="4"/>
        <v>-4062500</v>
      </c>
      <c r="H35" s="1525">
        <f t="shared" si="6"/>
        <v>-6375000</v>
      </c>
      <c r="I35" s="1515">
        <f t="shared" si="7"/>
        <v>-4462500</v>
      </c>
      <c r="J35" s="1515">
        <f t="shared" si="8"/>
        <v>-4650000</v>
      </c>
      <c r="K35" s="1525">
        <f t="shared" si="9"/>
        <v>-4875000</v>
      </c>
      <c r="L35" s="1525">
        <f t="shared" si="9"/>
        <v>-8625000</v>
      </c>
      <c r="M35" s="1525">
        <f t="shared" si="9"/>
        <v>-11400000</v>
      </c>
      <c r="N35" s="1525">
        <f t="shared" si="9"/>
        <v>-8850000</v>
      </c>
      <c r="O35" s="1525">
        <f t="shared" si="9"/>
        <v>-5713750</v>
      </c>
      <c r="P35" s="1514">
        <f t="shared" si="5"/>
        <v>-3320000</v>
      </c>
      <c r="Q35" s="1526">
        <f t="shared" si="10"/>
        <v>-5375000</v>
      </c>
      <c r="R35" s="1514">
        <f t="shared" si="10"/>
        <v>-625000</v>
      </c>
      <c r="S35" s="1080"/>
      <c r="T35" s="1080"/>
      <c r="U35" s="1080"/>
      <c r="V35" s="1080"/>
      <c r="W35" s="1080"/>
      <c r="X35" s="1080"/>
      <c r="Y35" s="1080"/>
      <c r="Z35" s="1080"/>
      <c r="AA35" s="248"/>
      <c r="AB35" s="352"/>
      <c r="AC35" s="284"/>
      <c r="AD35" s="286"/>
    </row>
    <row r="36" spans="1:30">
      <c r="A36" s="1"/>
      <c r="B36" s="1073">
        <v>20</v>
      </c>
      <c r="C36" s="1"/>
      <c r="D36" s="1514">
        <f t="shared" si="12"/>
        <v>-11343750</v>
      </c>
      <c r="E36" s="1525">
        <f t="shared" si="11"/>
        <v>-8815000</v>
      </c>
      <c r="F36" s="1525">
        <f t="shared" si="3"/>
        <v>-5781250</v>
      </c>
      <c r="G36" s="1525">
        <f>+G35-G9</f>
        <v>-254062500</v>
      </c>
      <c r="H36" s="1525">
        <f t="shared" si="6"/>
        <v>-6375000</v>
      </c>
      <c r="I36" s="1525">
        <f>+I35-I9</f>
        <v>-354462500</v>
      </c>
      <c r="J36" s="1515">
        <f>+J35-J9</f>
        <v>-304650000</v>
      </c>
      <c r="K36" s="1525">
        <f t="shared" si="9"/>
        <v>-4875000</v>
      </c>
      <c r="L36" s="1525">
        <f t="shared" si="9"/>
        <v>-8625000</v>
      </c>
      <c r="M36" s="1525">
        <f t="shared" si="9"/>
        <v>-11400000</v>
      </c>
      <c r="N36" s="1525">
        <f>+N35-N9</f>
        <v>-308850000</v>
      </c>
      <c r="O36" s="1525">
        <f t="shared" si="9"/>
        <v>-5713750</v>
      </c>
      <c r="P36" s="1514">
        <f t="shared" si="5"/>
        <v>-3320000</v>
      </c>
      <c r="Q36" s="1526">
        <f t="shared" si="10"/>
        <v>-5375000</v>
      </c>
      <c r="R36" s="1514">
        <f t="shared" si="10"/>
        <v>-625000</v>
      </c>
      <c r="S36" s="1080"/>
      <c r="T36" s="1080"/>
      <c r="U36" s="1080"/>
      <c r="V36" s="1080"/>
      <c r="W36" s="1080"/>
      <c r="X36" s="1080"/>
      <c r="Y36" s="1080"/>
      <c r="Z36" s="1080"/>
      <c r="AA36" s="248"/>
      <c r="AB36" s="352"/>
      <c r="AC36" s="285"/>
      <c r="AD36" s="286"/>
    </row>
    <row r="37" spans="1:30">
      <c r="A37" s="1"/>
      <c r="B37" s="1073">
        <v>21</v>
      </c>
      <c r="C37" s="1"/>
      <c r="D37" s="1514">
        <f t="shared" si="12"/>
        <v>-11343750</v>
      </c>
      <c r="E37" s="1525">
        <f t="shared" si="11"/>
        <v>-8815000</v>
      </c>
      <c r="F37" s="1526">
        <f t="shared" si="3"/>
        <v>-5781250</v>
      </c>
      <c r="G37" s="1525"/>
      <c r="H37" s="1525">
        <f t="shared" si="6"/>
        <v>-6375000</v>
      </c>
      <c r="I37" s="1515"/>
      <c r="J37" s="1515"/>
      <c r="K37" s="1525">
        <f t="shared" si="9"/>
        <v>-4875000</v>
      </c>
      <c r="L37" s="1525">
        <f t="shared" si="9"/>
        <v>-8625000</v>
      </c>
      <c r="M37" s="1525">
        <f t="shared" si="9"/>
        <v>-11400000</v>
      </c>
      <c r="N37" s="1525"/>
      <c r="O37" s="1525">
        <f t="shared" si="9"/>
        <v>-5713750</v>
      </c>
      <c r="P37" s="1514">
        <f t="shared" si="5"/>
        <v>-3320000</v>
      </c>
      <c r="Q37" s="1526">
        <f t="shared" si="10"/>
        <v>-5375000</v>
      </c>
      <c r="R37" s="1514">
        <f t="shared" si="10"/>
        <v>-625000</v>
      </c>
      <c r="S37" s="1080"/>
      <c r="T37" s="1080"/>
      <c r="U37" s="1080"/>
      <c r="V37" s="1080"/>
      <c r="W37" s="1080"/>
      <c r="X37" s="1080"/>
      <c r="Y37" s="1080"/>
      <c r="Z37" s="1080"/>
      <c r="AA37" s="248"/>
      <c r="AB37" s="352"/>
      <c r="AC37" s="284"/>
      <c r="AD37" s="286"/>
    </row>
    <row r="38" spans="1:30">
      <c r="A38" s="1"/>
      <c r="B38" s="1073">
        <v>22</v>
      </c>
      <c r="C38" s="1"/>
      <c r="D38" s="1514">
        <f t="shared" si="12"/>
        <v>-11343750</v>
      </c>
      <c r="E38" s="1525">
        <f t="shared" si="11"/>
        <v>-8815000</v>
      </c>
      <c r="F38" s="1525">
        <f t="shared" si="3"/>
        <v>-5781250</v>
      </c>
      <c r="G38" s="1525"/>
      <c r="H38" s="1525">
        <f t="shared" si="6"/>
        <v>-6375000</v>
      </c>
      <c r="I38" s="1515"/>
      <c r="J38" s="1515"/>
      <c r="K38" s="1525">
        <f t="shared" si="9"/>
        <v>-4875000</v>
      </c>
      <c r="L38" s="1525">
        <f t="shared" si="9"/>
        <v>-8625000</v>
      </c>
      <c r="M38" s="1525">
        <f t="shared" si="9"/>
        <v>-11400000</v>
      </c>
      <c r="N38" s="1525"/>
      <c r="O38" s="1525">
        <f t="shared" si="9"/>
        <v>-5713750</v>
      </c>
      <c r="P38" s="1514">
        <f t="shared" si="5"/>
        <v>-3320000</v>
      </c>
      <c r="Q38" s="1526">
        <f t="shared" si="10"/>
        <v>-5375000</v>
      </c>
      <c r="R38" s="1514">
        <f t="shared" si="10"/>
        <v>-625000</v>
      </c>
      <c r="S38" s="1080"/>
      <c r="T38" s="1080"/>
      <c r="U38" s="1080"/>
      <c r="V38" s="1080"/>
      <c r="W38" s="1080"/>
      <c r="X38" s="1080"/>
      <c r="Y38" s="1080"/>
      <c r="Z38" s="1080"/>
      <c r="AA38" s="248"/>
      <c r="AB38" s="352"/>
      <c r="AC38" s="284"/>
      <c r="AD38" s="286"/>
    </row>
    <row r="39" spans="1:30">
      <c r="A39" s="1"/>
      <c r="B39" s="1073">
        <v>23</v>
      </c>
      <c r="C39" s="1"/>
      <c r="D39" s="1514">
        <f t="shared" si="12"/>
        <v>-11343750</v>
      </c>
      <c r="E39" s="1525">
        <f t="shared" si="11"/>
        <v>-8815000</v>
      </c>
      <c r="F39" s="1525">
        <f t="shared" si="3"/>
        <v>-5781250</v>
      </c>
      <c r="G39" s="1525"/>
      <c r="H39" s="1525">
        <f t="shared" si="6"/>
        <v>-6375000</v>
      </c>
      <c r="I39" s="1515"/>
      <c r="J39" s="1515"/>
      <c r="K39" s="1525">
        <f t="shared" si="9"/>
        <v>-4875000</v>
      </c>
      <c r="L39" s="1525">
        <f t="shared" si="9"/>
        <v>-8625000</v>
      </c>
      <c r="M39" s="1525">
        <f t="shared" si="9"/>
        <v>-11400000</v>
      </c>
      <c r="N39" s="1525"/>
      <c r="O39" s="1525">
        <f t="shared" si="9"/>
        <v>-5713750</v>
      </c>
      <c r="P39" s="1514">
        <f t="shared" si="5"/>
        <v>-3320000</v>
      </c>
      <c r="Q39" s="1526">
        <f t="shared" si="10"/>
        <v>-5375000</v>
      </c>
      <c r="R39" s="1514">
        <f t="shared" si="10"/>
        <v>-625000</v>
      </c>
      <c r="S39" s="1080"/>
      <c r="T39" s="1080"/>
      <c r="U39" s="1080"/>
      <c r="V39" s="1080"/>
      <c r="W39" s="1080"/>
      <c r="X39" s="1080"/>
      <c r="Y39" s="1080"/>
      <c r="Z39" s="1080"/>
      <c r="AA39" s="248"/>
      <c r="AB39" s="352"/>
      <c r="AC39" s="285"/>
      <c r="AD39" s="286"/>
    </row>
    <row r="40" spans="1:30">
      <c r="A40" s="1"/>
      <c r="B40" s="1073">
        <v>24</v>
      </c>
      <c r="C40" s="1"/>
      <c r="D40" s="1514">
        <f t="shared" si="12"/>
        <v>-11343750</v>
      </c>
      <c r="E40" s="1525">
        <f t="shared" si="11"/>
        <v>-8815000</v>
      </c>
      <c r="F40" s="1525">
        <f t="shared" si="3"/>
        <v>-5781250</v>
      </c>
      <c r="G40" s="1525"/>
      <c r="H40" s="1525">
        <f t="shared" si="6"/>
        <v>-6375000</v>
      </c>
      <c r="I40" s="1515"/>
      <c r="J40" s="1515"/>
      <c r="K40" s="1525">
        <f t="shared" si="9"/>
        <v>-4875000</v>
      </c>
      <c r="L40" s="1525">
        <f t="shared" si="9"/>
        <v>-8625000</v>
      </c>
      <c r="M40" s="1525">
        <f t="shared" si="9"/>
        <v>-11400000</v>
      </c>
      <c r="N40" s="1525"/>
      <c r="O40" s="1525">
        <f t="shared" si="9"/>
        <v>-5713750</v>
      </c>
      <c r="P40" s="1514">
        <f t="shared" si="5"/>
        <v>-3320000</v>
      </c>
      <c r="Q40" s="1526">
        <f t="shared" si="10"/>
        <v>-5375000</v>
      </c>
      <c r="R40" s="1514">
        <f t="shared" si="10"/>
        <v>-625000</v>
      </c>
      <c r="S40" s="1080"/>
      <c r="T40" s="1080"/>
      <c r="U40" s="1080"/>
      <c r="V40" s="1080"/>
      <c r="W40" s="1080"/>
      <c r="X40" s="1080"/>
      <c r="Y40" s="1080"/>
      <c r="Z40" s="1080"/>
      <c r="AA40" s="248"/>
      <c r="AB40" s="352"/>
      <c r="AC40" s="284"/>
      <c r="AD40" s="286"/>
    </row>
    <row r="41" spans="1:30">
      <c r="A41" s="1"/>
      <c r="B41" s="1073">
        <v>25</v>
      </c>
      <c r="C41" s="1"/>
      <c r="D41" s="1514">
        <f t="shared" si="12"/>
        <v>-11343750</v>
      </c>
      <c r="E41" s="1525">
        <f t="shared" si="11"/>
        <v>-8815000</v>
      </c>
      <c r="F41" s="1525">
        <f t="shared" si="3"/>
        <v>-5781250</v>
      </c>
      <c r="G41" s="1525"/>
      <c r="H41" s="1525">
        <f t="shared" si="6"/>
        <v>-6375000</v>
      </c>
      <c r="I41" s="1515"/>
      <c r="J41" s="1515"/>
      <c r="K41" s="1525">
        <f t="shared" si="9"/>
        <v>-4875000</v>
      </c>
      <c r="L41" s="1525">
        <f t="shared" si="9"/>
        <v>-8625000</v>
      </c>
      <c r="M41" s="1525">
        <f t="shared" si="9"/>
        <v>-11400000</v>
      </c>
      <c r="N41" s="1525"/>
      <c r="O41" s="1525">
        <f t="shared" si="9"/>
        <v>-5713750</v>
      </c>
      <c r="P41" s="1514">
        <f t="shared" si="5"/>
        <v>-3320000</v>
      </c>
      <c r="Q41" s="1526">
        <f t="shared" si="10"/>
        <v>-5375000</v>
      </c>
      <c r="R41" s="1514">
        <f t="shared" si="10"/>
        <v>-625000</v>
      </c>
      <c r="S41" s="1080"/>
      <c r="T41" s="1080"/>
      <c r="U41" s="1080"/>
      <c r="V41" s="1080"/>
      <c r="W41" s="1080"/>
      <c r="X41" s="1080"/>
      <c r="Y41" s="1080"/>
      <c r="Z41" s="1080"/>
      <c r="AA41" s="248"/>
      <c r="AB41" s="352"/>
      <c r="AC41" s="284"/>
      <c r="AD41" s="286"/>
    </row>
    <row r="42" spans="1:30">
      <c r="A42" s="1"/>
      <c r="B42" s="1073">
        <v>26</v>
      </c>
      <c r="C42" s="1"/>
      <c r="D42" s="1514">
        <f t="shared" si="12"/>
        <v>-11343750</v>
      </c>
      <c r="E42" s="1525">
        <f t="shared" si="11"/>
        <v>-8815000</v>
      </c>
      <c r="F42" s="1525">
        <f t="shared" si="3"/>
        <v>-5781250</v>
      </c>
      <c r="G42" s="1525"/>
      <c r="H42" s="1525">
        <f t="shared" si="6"/>
        <v>-6375000</v>
      </c>
      <c r="I42" s="1515"/>
      <c r="J42" s="1515"/>
      <c r="K42" s="1525">
        <f t="shared" si="9"/>
        <v>-4875000</v>
      </c>
      <c r="L42" s="1525">
        <f t="shared" si="9"/>
        <v>-8625000</v>
      </c>
      <c r="M42" s="1525">
        <f t="shared" si="9"/>
        <v>-11400000</v>
      </c>
      <c r="N42" s="1525"/>
      <c r="O42" s="1525">
        <f t="shared" si="9"/>
        <v>-5713750</v>
      </c>
      <c r="P42" s="1525">
        <f t="shared" si="5"/>
        <v>-3320000</v>
      </c>
      <c r="Q42" s="1526">
        <f t="shared" si="10"/>
        <v>-5375000</v>
      </c>
      <c r="R42" s="1514">
        <f t="shared" si="10"/>
        <v>-625000</v>
      </c>
      <c r="S42" s="1080"/>
      <c r="T42" s="1080"/>
      <c r="U42" s="1080"/>
      <c r="V42" s="1080"/>
      <c r="W42" s="1080"/>
      <c r="X42" s="1080"/>
      <c r="Y42" s="1080"/>
      <c r="Z42" s="1080"/>
      <c r="AA42" s="248"/>
      <c r="AB42" s="352"/>
      <c r="AC42" s="285"/>
      <c r="AD42" s="286"/>
    </row>
    <row r="43" spans="1:30">
      <c r="A43" s="1"/>
      <c r="B43" s="1073">
        <v>27</v>
      </c>
      <c r="C43" s="1"/>
      <c r="D43" s="1514">
        <f t="shared" si="12"/>
        <v>-11343750</v>
      </c>
      <c r="E43" s="1525">
        <f t="shared" si="11"/>
        <v>-8815000</v>
      </c>
      <c r="F43" s="1525">
        <f t="shared" si="3"/>
        <v>-5781250</v>
      </c>
      <c r="G43" s="1525"/>
      <c r="H43" s="1525">
        <f t="shared" si="6"/>
        <v>-6375000</v>
      </c>
      <c r="I43" s="1515"/>
      <c r="J43" s="1515"/>
      <c r="K43" s="1525">
        <f t="shared" si="9"/>
        <v>-4875000</v>
      </c>
      <c r="L43" s="1525">
        <f t="shared" si="9"/>
        <v>-8625000</v>
      </c>
      <c r="M43" s="1525">
        <f t="shared" si="9"/>
        <v>-11400000</v>
      </c>
      <c r="N43" s="1525"/>
      <c r="O43" s="1525">
        <f t="shared" si="9"/>
        <v>-5713750</v>
      </c>
      <c r="P43" s="1525">
        <f t="shared" si="5"/>
        <v>-3320000</v>
      </c>
      <c r="Q43" s="1526">
        <f t="shared" si="10"/>
        <v>-5375000</v>
      </c>
      <c r="R43" s="1514">
        <f t="shared" si="10"/>
        <v>-625000</v>
      </c>
      <c r="S43" s="1080"/>
      <c r="T43" s="1080"/>
      <c r="U43" s="1080"/>
      <c r="V43" s="1080"/>
      <c r="W43" s="1080"/>
      <c r="X43" s="1080"/>
      <c r="Y43" s="1080"/>
      <c r="Z43" s="1080"/>
      <c r="AA43" s="248"/>
      <c r="AB43" s="352"/>
      <c r="AC43" s="284"/>
      <c r="AD43" s="286"/>
    </row>
    <row r="44" spans="1:30">
      <c r="A44" s="1"/>
      <c r="B44" s="1073">
        <v>28</v>
      </c>
      <c r="C44" s="1"/>
      <c r="D44" s="1514">
        <f t="shared" si="12"/>
        <v>-11343750</v>
      </c>
      <c r="E44" s="1525">
        <f t="shared" si="11"/>
        <v>-8815000</v>
      </c>
      <c r="F44" s="1525">
        <f t="shared" si="3"/>
        <v>-5781250</v>
      </c>
      <c r="G44" s="1525"/>
      <c r="H44" s="1525">
        <f t="shared" si="6"/>
        <v>-6375000</v>
      </c>
      <c r="I44" s="1515"/>
      <c r="J44" s="1515"/>
      <c r="K44" s="1525">
        <f t="shared" si="9"/>
        <v>-4875000</v>
      </c>
      <c r="L44" s="1525">
        <f t="shared" si="9"/>
        <v>-8625000</v>
      </c>
      <c r="M44" s="1525">
        <f t="shared" si="9"/>
        <v>-11400000</v>
      </c>
      <c r="N44" s="1525"/>
      <c r="O44" s="1525">
        <f t="shared" si="9"/>
        <v>-5713750</v>
      </c>
      <c r="P44" s="1525">
        <f t="shared" si="5"/>
        <v>-3320000</v>
      </c>
      <c r="Q44" s="1526">
        <f t="shared" si="10"/>
        <v>-5375000</v>
      </c>
      <c r="R44" s="1514">
        <f t="shared" si="10"/>
        <v>-625000</v>
      </c>
      <c r="S44" s="1080"/>
      <c r="T44" s="1080"/>
      <c r="U44" s="1080"/>
      <c r="V44" s="1080"/>
      <c r="W44" s="1080"/>
      <c r="X44" s="1080"/>
      <c r="Y44" s="1080"/>
      <c r="Z44" s="1080"/>
      <c r="AA44" s="248"/>
      <c r="AB44" s="352"/>
      <c r="AC44" s="284"/>
      <c r="AD44" s="118"/>
    </row>
    <row r="45" spans="1:30">
      <c r="A45" s="1"/>
      <c r="B45" s="1073">
        <v>29</v>
      </c>
      <c r="C45" s="1"/>
      <c r="D45" s="1514">
        <f t="shared" si="12"/>
        <v>-11343750</v>
      </c>
      <c r="E45" s="1525">
        <f t="shared" si="11"/>
        <v>-8815000</v>
      </c>
      <c r="F45" s="1525">
        <f t="shared" si="3"/>
        <v>-5781250</v>
      </c>
      <c r="G45" s="1525"/>
      <c r="H45" s="1525">
        <f t="shared" si="6"/>
        <v>-6375000</v>
      </c>
      <c r="I45" s="1515"/>
      <c r="J45" s="1515"/>
      <c r="K45" s="1525">
        <f t="shared" si="9"/>
        <v>-4875000</v>
      </c>
      <c r="L45" s="1525">
        <f t="shared" si="9"/>
        <v>-8625000</v>
      </c>
      <c r="M45" s="1525">
        <f t="shared" si="9"/>
        <v>-11400000</v>
      </c>
      <c r="N45" s="1525"/>
      <c r="O45" s="1525">
        <f t="shared" si="9"/>
        <v>-5713750</v>
      </c>
      <c r="P45" s="1525">
        <f t="shared" si="5"/>
        <v>-3320000</v>
      </c>
      <c r="Q45" s="1526">
        <f t="shared" si="10"/>
        <v>-5375000</v>
      </c>
      <c r="R45" s="1514">
        <f t="shared" si="10"/>
        <v>-625000</v>
      </c>
      <c r="S45" s="1080"/>
      <c r="T45" s="1080"/>
      <c r="U45" s="1080"/>
      <c r="V45" s="1080"/>
      <c r="W45" s="1080"/>
      <c r="X45" s="1080"/>
      <c r="Y45" s="1080"/>
      <c r="Z45" s="1080"/>
      <c r="AA45" s="248"/>
      <c r="AB45" s="352"/>
      <c r="AC45" s="285"/>
      <c r="AD45" s="118"/>
    </row>
    <row r="46" spans="1:30">
      <c r="A46" s="1"/>
      <c r="B46" s="1073">
        <v>30</v>
      </c>
      <c r="C46" s="1"/>
      <c r="D46" s="1514">
        <f t="shared" si="12"/>
        <v>-11343750</v>
      </c>
      <c r="E46" s="1525">
        <f t="shared" si="11"/>
        <v>-8815000</v>
      </c>
      <c r="F46" s="1525">
        <f t="shared" si="3"/>
        <v>-5781250</v>
      </c>
      <c r="G46" s="1525"/>
      <c r="H46" s="1525">
        <f t="shared" si="6"/>
        <v>-6375000</v>
      </c>
      <c r="I46" s="1515"/>
      <c r="J46" s="1515"/>
      <c r="K46" s="1525">
        <f t="shared" si="9"/>
        <v>-4875000</v>
      </c>
      <c r="L46" s="1525">
        <f t="shared" si="9"/>
        <v>-8625000</v>
      </c>
      <c r="M46" s="1525">
        <f t="shared" si="9"/>
        <v>-11400000</v>
      </c>
      <c r="N46" s="1525"/>
      <c r="O46" s="1525">
        <f t="shared" si="9"/>
        <v>-5713750</v>
      </c>
      <c r="P46" s="1525">
        <f t="shared" si="5"/>
        <v>-3320000</v>
      </c>
      <c r="Q46" s="1526">
        <f t="shared" ref="Q46" si="13">Q45</f>
        <v>-5375000</v>
      </c>
      <c r="R46" s="1514">
        <f>+R45-R9</f>
        <v>-50625000</v>
      </c>
      <c r="S46" s="1080"/>
      <c r="T46" s="1080"/>
      <c r="U46" s="1080"/>
      <c r="V46" s="1080"/>
      <c r="W46" s="1080"/>
      <c r="X46" s="1080"/>
      <c r="Y46" s="1080"/>
      <c r="Z46" s="1080"/>
      <c r="AA46" s="248"/>
      <c r="AB46" s="352"/>
      <c r="AC46" s="284"/>
      <c r="AD46" s="118"/>
    </row>
    <row r="47" spans="1:30">
      <c r="A47" s="1"/>
      <c r="B47" s="1073">
        <v>31</v>
      </c>
      <c r="C47" s="1"/>
      <c r="D47" s="1514">
        <f t="shared" si="12"/>
        <v>-11343750</v>
      </c>
      <c r="E47" s="1525">
        <f t="shared" si="11"/>
        <v>-8815000</v>
      </c>
      <c r="F47" s="1525">
        <f t="shared" si="3"/>
        <v>-5781250</v>
      </c>
      <c r="G47" s="1525"/>
      <c r="H47" s="1525">
        <f t="shared" si="6"/>
        <v>-6375000</v>
      </c>
      <c r="I47" s="1515"/>
      <c r="J47" s="1515"/>
      <c r="K47" s="1525">
        <f t="shared" si="9"/>
        <v>-4875000</v>
      </c>
      <c r="L47" s="1525">
        <f t="shared" si="9"/>
        <v>-8625000</v>
      </c>
      <c r="M47" s="1525">
        <f t="shared" si="9"/>
        <v>-11400000</v>
      </c>
      <c r="N47" s="1525"/>
      <c r="O47" s="1525">
        <f t="shared" si="9"/>
        <v>-5713750</v>
      </c>
      <c r="P47" s="1525">
        <f t="shared" si="5"/>
        <v>-3320000</v>
      </c>
      <c r="Q47" s="1526">
        <f t="shared" ref="Q47" si="14">Q46</f>
        <v>-5375000</v>
      </c>
      <c r="R47" s="1514"/>
      <c r="S47" s="1080"/>
      <c r="T47" s="1080"/>
      <c r="U47" s="1080"/>
      <c r="V47" s="1080"/>
      <c r="W47" s="1080"/>
      <c r="X47" s="1080"/>
      <c r="Y47" s="1080"/>
      <c r="Z47" s="1080"/>
      <c r="AA47" s="248"/>
      <c r="AB47" s="352"/>
      <c r="AC47" s="284"/>
      <c r="AD47" s="118"/>
    </row>
    <row r="48" spans="1:30">
      <c r="A48" s="1"/>
      <c r="B48" s="1073">
        <v>32</v>
      </c>
      <c r="C48" s="1"/>
      <c r="D48" s="1514">
        <f t="shared" si="12"/>
        <v>-11343750</v>
      </c>
      <c r="E48" s="1525">
        <f t="shared" si="11"/>
        <v>-8815000</v>
      </c>
      <c r="F48" s="1525">
        <f t="shared" si="3"/>
        <v>-5781250</v>
      </c>
      <c r="G48" s="1525"/>
      <c r="H48" s="1525">
        <f t="shared" si="6"/>
        <v>-6375000</v>
      </c>
      <c r="I48" s="1515"/>
      <c r="J48" s="1515"/>
      <c r="K48" s="1525">
        <f t="shared" si="9"/>
        <v>-4875000</v>
      </c>
      <c r="L48" s="1525">
        <f t="shared" si="9"/>
        <v>-8625000</v>
      </c>
      <c r="M48" s="1525">
        <f t="shared" si="9"/>
        <v>-11400000</v>
      </c>
      <c r="N48" s="1525"/>
      <c r="O48" s="1525">
        <f t="shared" si="9"/>
        <v>-5713750</v>
      </c>
      <c r="P48" s="1525">
        <f t="shared" si="5"/>
        <v>-3320000</v>
      </c>
      <c r="Q48" s="1526">
        <f t="shared" ref="Q48" si="15">Q47</f>
        <v>-5375000</v>
      </c>
      <c r="R48" s="1514"/>
      <c r="S48" s="1080"/>
      <c r="T48" s="1080"/>
      <c r="U48" s="1080"/>
      <c r="V48" s="1080"/>
      <c r="W48" s="1080"/>
      <c r="X48" s="1080"/>
      <c r="Y48" s="1080"/>
      <c r="Z48" s="1080"/>
      <c r="AA48" s="248"/>
      <c r="AB48" s="352"/>
      <c r="AC48" s="285"/>
      <c r="AD48" s="118"/>
    </row>
    <row r="49" spans="1:30">
      <c r="A49" s="1"/>
      <c r="B49" s="1073">
        <v>33</v>
      </c>
      <c r="C49" s="1"/>
      <c r="D49" s="1514">
        <f t="shared" si="12"/>
        <v>-11343750</v>
      </c>
      <c r="E49" s="1525">
        <f t="shared" si="11"/>
        <v>-8815000</v>
      </c>
      <c r="F49" s="1525">
        <f t="shared" si="3"/>
        <v>-5781250</v>
      </c>
      <c r="G49" s="1525"/>
      <c r="H49" s="1525">
        <f t="shared" si="6"/>
        <v>-6375000</v>
      </c>
      <c r="I49" s="1515"/>
      <c r="J49" s="1515"/>
      <c r="K49" s="1525">
        <f t="shared" si="9"/>
        <v>-4875000</v>
      </c>
      <c r="L49" s="1525">
        <f t="shared" si="9"/>
        <v>-8625000</v>
      </c>
      <c r="M49" s="1525">
        <f t="shared" si="9"/>
        <v>-11400000</v>
      </c>
      <c r="N49" s="1525"/>
      <c r="O49" s="1525">
        <f t="shared" si="9"/>
        <v>-5713750</v>
      </c>
      <c r="P49" s="1525">
        <f t="shared" si="5"/>
        <v>-3320000</v>
      </c>
      <c r="Q49" s="1526">
        <f t="shared" ref="Q49" si="16">Q48</f>
        <v>-5375000</v>
      </c>
      <c r="R49" s="1514"/>
      <c r="S49" s="1080"/>
      <c r="T49" s="1080"/>
      <c r="U49" s="1080"/>
      <c r="V49" s="1080"/>
      <c r="W49" s="1080"/>
      <c r="X49" s="1080"/>
      <c r="Y49" s="1080"/>
      <c r="Z49" s="1080"/>
      <c r="AA49" s="248"/>
      <c r="AB49" s="352"/>
      <c r="AC49" s="284"/>
      <c r="AD49" s="118"/>
    </row>
    <row r="50" spans="1:30">
      <c r="A50" s="1"/>
      <c r="B50" s="1073">
        <v>34</v>
      </c>
      <c r="C50" s="1"/>
      <c r="D50" s="1514">
        <f t="shared" si="12"/>
        <v>-11343750</v>
      </c>
      <c r="E50" s="1525">
        <f t="shared" si="11"/>
        <v>-8815000</v>
      </c>
      <c r="F50" s="1525">
        <f t="shared" si="3"/>
        <v>-5781250</v>
      </c>
      <c r="G50" s="1525"/>
      <c r="H50" s="1525">
        <f t="shared" si="6"/>
        <v>-6375000</v>
      </c>
      <c r="I50" s="1515"/>
      <c r="J50" s="1515"/>
      <c r="K50" s="1525">
        <f t="shared" si="9"/>
        <v>-4875000</v>
      </c>
      <c r="L50" s="1525">
        <f t="shared" si="9"/>
        <v>-8625000</v>
      </c>
      <c r="M50" s="1525">
        <f t="shared" si="9"/>
        <v>-11400000</v>
      </c>
      <c r="N50" s="1525"/>
      <c r="O50" s="1525">
        <f t="shared" si="9"/>
        <v>-5713750</v>
      </c>
      <c r="P50" s="1525">
        <f t="shared" si="5"/>
        <v>-3320000</v>
      </c>
      <c r="Q50" s="1526">
        <f t="shared" ref="Q50" si="17">Q49</f>
        <v>-5375000</v>
      </c>
      <c r="R50" s="1514"/>
      <c r="S50" s="1080"/>
      <c r="T50" s="1080"/>
      <c r="U50" s="1080"/>
      <c r="V50" s="1080"/>
      <c r="W50" s="1080"/>
      <c r="X50" s="1080"/>
      <c r="Y50" s="1080"/>
      <c r="Z50" s="1080"/>
      <c r="AA50" s="248"/>
      <c r="AB50" s="352"/>
      <c r="AC50" s="284"/>
      <c r="AD50" s="118"/>
    </row>
    <row r="51" spans="1:30">
      <c r="A51" s="1"/>
      <c r="B51" s="1073">
        <v>35</v>
      </c>
      <c r="C51" s="1"/>
      <c r="D51" s="1514">
        <f t="shared" si="12"/>
        <v>-11343750</v>
      </c>
      <c r="E51" s="1525">
        <f t="shared" si="11"/>
        <v>-8815000</v>
      </c>
      <c r="F51" s="1525">
        <f t="shared" si="3"/>
        <v>-5781250</v>
      </c>
      <c r="G51" s="1525"/>
      <c r="H51" s="1525">
        <f t="shared" si="6"/>
        <v>-6375000</v>
      </c>
      <c r="I51" s="1515"/>
      <c r="J51" s="1515"/>
      <c r="K51" s="1525">
        <f t="shared" si="9"/>
        <v>-4875000</v>
      </c>
      <c r="L51" s="1525">
        <f t="shared" si="9"/>
        <v>-8625000</v>
      </c>
      <c r="M51" s="1525">
        <f t="shared" si="9"/>
        <v>-11400000</v>
      </c>
      <c r="N51" s="1525"/>
      <c r="O51" s="1525">
        <f t="shared" si="9"/>
        <v>-5713750</v>
      </c>
      <c r="P51" s="1525">
        <f t="shared" si="5"/>
        <v>-3320000</v>
      </c>
      <c r="Q51" s="1526">
        <f t="shared" ref="Q51" si="18">Q50</f>
        <v>-5375000</v>
      </c>
      <c r="R51" s="1514"/>
      <c r="S51" s="1080"/>
      <c r="T51" s="1080"/>
      <c r="U51" s="1080"/>
      <c r="V51" s="1080"/>
      <c r="W51" s="1080"/>
      <c r="X51" s="1080"/>
      <c r="Y51" s="1080"/>
      <c r="Z51" s="1080"/>
      <c r="AA51" s="248"/>
      <c r="AB51" s="352"/>
      <c r="AC51" s="285"/>
      <c r="AD51" s="118"/>
    </row>
    <row r="52" spans="1:30">
      <c r="A52" s="1"/>
      <c r="B52" s="1073">
        <v>36</v>
      </c>
      <c r="C52" s="1"/>
      <c r="D52" s="1514">
        <f t="shared" si="12"/>
        <v>-11343750</v>
      </c>
      <c r="E52" s="1525">
        <f t="shared" si="11"/>
        <v>-8815000</v>
      </c>
      <c r="F52" s="1525">
        <f t="shared" si="3"/>
        <v>-5781250</v>
      </c>
      <c r="G52" s="1525"/>
      <c r="H52" s="1525">
        <f t="shared" si="6"/>
        <v>-6375000</v>
      </c>
      <c r="I52" s="1515"/>
      <c r="J52" s="1515"/>
      <c r="K52" s="1525">
        <f t="shared" si="9"/>
        <v>-4875000</v>
      </c>
      <c r="L52" s="1525">
        <f t="shared" si="9"/>
        <v>-8625000</v>
      </c>
      <c r="M52" s="1525">
        <f t="shared" si="9"/>
        <v>-11400000</v>
      </c>
      <c r="N52" s="1525"/>
      <c r="O52" s="1525">
        <f t="shared" si="9"/>
        <v>-5713750</v>
      </c>
      <c r="P52" s="1525">
        <f t="shared" si="5"/>
        <v>-3320000</v>
      </c>
      <c r="Q52" s="1526">
        <f t="shared" ref="Q52" si="19">Q51</f>
        <v>-5375000</v>
      </c>
      <c r="R52" s="1514"/>
      <c r="S52" s="1080"/>
      <c r="T52" s="1080"/>
      <c r="U52" s="1080"/>
      <c r="V52" s="1080"/>
      <c r="W52" s="1080"/>
      <c r="X52" s="1080"/>
      <c r="Y52" s="1080"/>
      <c r="Z52" s="1080"/>
      <c r="AA52" s="248"/>
      <c r="AB52" s="352"/>
      <c r="AC52" s="284"/>
      <c r="AD52" s="118"/>
    </row>
    <row r="53" spans="1:30">
      <c r="A53" s="1"/>
      <c r="B53" s="1073">
        <v>37</v>
      </c>
      <c r="C53" s="1"/>
      <c r="D53" s="1514">
        <f t="shared" si="12"/>
        <v>-11343750</v>
      </c>
      <c r="E53" s="1525">
        <f t="shared" si="11"/>
        <v>-8815000</v>
      </c>
      <c r="F53" s="1525">
        <f t="shared" si="3"/>
        <v>-5781250</v>
      </c>
      <c r="G53" s="1525"/>
      <c r="H53" s="1525">
        <f t="shared" si="6"/>
        <v>-6375000</v>
      </c>
      <c r="I53" s="1515"/>
      <c r="J53" s="1515"/>
      <c r="K53" s="1525">
        <f t="shared" si="9"/>
        <v>-4875000</v>
      </c>
      <c r="L53" s="1525">
        <f t="shared" si="9"/>
        <v>-8625000</v>
      </c>
      <c r="M53" s="1525">
        <f t="shared" si="9"/>
        <v>-11400000</v>
      </c>
      <c r="N53" s="1525"/>
      <c r="O53" s="1525">
        <f t="shared" si="9"/>
        <v>-5713750</v>
      </c>
      <c r="P53" s="1525">
        <f t="shared" si="5"/>
        <v>-3320000</v>
      </c>
      <c r="Q53" s="1526">
        <f t="shared" ref="Q53" si="20">Q52</f>
        <v>-5375000</v>
      </c>
      <c r="R53" s="1514"/>
      <c r="S53" s="1080"/>
      <c r="T53" s="1080"/>
      <c r="U53" s="1080"/>
      <c r="V53" s="1080"/>
      <c r="W53" s="1080"/>
      <c r="X53" s="1080"/>
      <c r="Y53" s="1080"/>
      <c r="Z53" s="1080"/>
      <c r="AA53" s="248"/>
      <c r="AB53" s="352"/>
      <c r="AC53" s="284"/>
      <c r="AD53" s="118"/>
    </row>
    <row r="54" spans="1:30">
      <c r="A54" s="1"/>
      <c r="B54" s="1073">
        <v>38</v>
      </c>
      <c r="C54" s="1"/>
      <c r="D54" s="1514">
        <f t="shared" si="12"/>
        <v>-11343750</v>
      </c>
      <c r="E54" s="1525">
        <f t="shared" si="11"/>
        <v>-8815000</v>
      </c>
      <c r="F54" s="1525">
        <f t="shared" si="3"/>
        <v>-5781250</v>
      </c>
      <c r="G54" s="1525"/>
      <c r="H54" s="1525">
        <f t="shared" si="6"/>
        <v>-6375000</v>
      </c>
      <c r="I54" s="1515"/>
      <c r="J54" s="1515"/>
      <c r="K54" s="1525">
        <f t="shared" si="9"/>
        <v>-4875000</v>
      </c>
      <c r="L54" s="1525">
        <f t="shared" si="9"/>
        <v>-8625000</v>
      </c>
      <c r="M54" s="1525">
        <f t="shared" si="9"/>
        <v>-11400000</v>
      </c>
      <c r="N54" s="1525"/>
      <c r="O54" s="1525">
        <f t="shared" si="9"/>
        <v>-5713750</v>
      </c>
      <c r="P54" s="1525">
        <f t="shared" si="5"/>
        <v>-3320000</v>
      </c>
      <c r="Q54" s="1526">
        <f t="shared" ref="Q54" si="21">Q53</f>
        <v>-5375000</v>
      </c>
      <c r="R54" s="1514"/>
      <c r="S54" s="1080"/>
      <c r="T54" s="1080"/>
      <c r="U54" s="1080"/>
      <c r="V54" s="1080"/>
      <c r="W54" s="1080"/>
      <c r="X54" s="1080"/>
      <c r="Y54" s="1080"/>
      <c r="Z54" s="1080"/>
      <c r="AA54" s="248"/>
      <c r="AB54" s="352"/>
      <c r="AC54" s="285"/>
      <c r="AD54" s="118"/>
    </row>
    <row r="55" spans="1:30">
      <c r="A55" s="1"/>
      <c r="B55" s="1073">
        <v>39</v>
      </c>
      <c r="C55" s="1"/>
      <c r="D55" s="1514">
        <f t="shared" si="12"/>
        <v>-11343750</v>
      </c>
      <c r="E55" s="1525">
        <f t="shared" si="11"/>
        <v>-8815000</v>
      </c>
      <c r="F55" s="1525">
        <f t="shared" si="3"/>
        <v>-5781250</v>
      </c>
      <c r="G55" s="1525"/>
      <c r="H55" s="1525">
        <f t="shared" si="6"/>
        <v>-6375000</v>
      </c>
      <c r="I55" s="1515"/>
      <c r="J55" s="1515"/>
      <c r="K55" s="1525">
        <f t="shared" si="9"/>
        <v>-4875000</v>
      </c>
      <c r="L55" s="1525">
        <f t="shared" si="9"/>
        <v>-8625000</v>
      </c>
      <c r="M55" s="1525">
        <f t="shared" si="9"/>
        <v>-11400000</v>
      </c>
      <c r="N55" s="1525"/>
      <c r="O55" s="1525">
        <f t="shared" si="9"/>
        <v>-5713750</v>
      </c>
      <c r="P55" s="1525">
        <f t="shared" si="5"/>
        <v>-3320000</v>
      </c>
      <c r="Q55" s="1526">
        <f t="shared" ref="Q55" si="22">Q54</f>
        <v>-5375000</v>
      </c>
      <c r="R55" s="1514"/>
      <c r="S55" s="1080"/>
      <c r="T55" s="1080"/>
      <c r="U55" s="1080"/>
      <c r="V55" s="1080"/>
      <c r="W55" s="1080"/>
      <c r="X55" s="1080"/>
      <c r="Y55" s="1080"/>
      <c r="Z55" s="1080"/>
      <c r="AA55" s="248"/>
      <c r="AB55" s="352"/>
      <c r="AC55" s="284"/>
      <c r="AD55" s="118"/>
    </row>
    <row r="56" spans="1:30">
      <c r="A56" s="1"/>
      <c r="B56" s="1073">
        <v>40</v>
      </c>
      <c r="C56" s="1"/>
      <c r="D56" s="1514">
        <f t="shared" si="12"/>
        <v>-11343750</v>
      </c>
      <c r="E56" s="1525">
        <f t="shared" si="11"/>
        <v>-8815000</v>
      </c>
      <c r="F56" s="1525">
        <f t="shared" si="3"/>
        <v>-5781250</v>
      </c>
      <c r="G56" s="1525"/>
      <c r="H56" s="1525">
        <f t="shared" si="6"/>
        <v>-6375000</v>
      </c>
      <c r="I56" s="1515"/>
      <c r="J56" s="1515"/>
      <c r="K56" s="1525">
        <f t="shared" si="9"/>
        <v>-4875000</v>
      </c>
      <c r="L56" s="1525">
        <f t="shared" si="9"/>
        <v>-8625000</v>
      </c>
      <c r="M56" s="1525">
        <f t="shared" si="9"/>
        <v>-11400000</v>
      </c>
      <c r="N56" s="1525"/>
      <c r="O56" s="1525">
        <f t="shared" si="9"/>
        <v>-5713750</v>
      </c>
      <c r="P56" s="1525">
        <f t="shared" si="5"/>
        <v>-3320000</v>
      </c>
      <c r="Q56" s="1526">
        <f t="shared" ref="Q56" si="23">Q55</f>
        <v>-5375000</v>
      </c>
      <c r="R56" s="1514"/>
      <c r="S56" s="1080"/>
      <c r="T56" s="1080"/>
      <c r="U56" s="1080"/>
      <c r="V56" s="1080"/>
      <c r="W56" s="1080"/>
      <c r="X56" s="1080"/>
      <c r="Y56" s="1080"/>
      <c r="Z56" s="1080"/>
      <c r="AA56" s="248"/>
      <c r="AB56" s="352"/>
      <c r="AC56" s="284"/>
      <c r="AD56" s="118"/>
    </row>
    <row r="57" spans="1:30">
      <c r="A57" s="1"/>
      <c r="B57" s="1073">
        <v>41</v>
      </c>
      <c r="C57" s="1"/>
      <c r="D57" s="1514">
        <f t="shared" si="12"/>
        <v>-11343750</v>
      </c>
      <c r="E57" s="1525">
        <f t="shared" si="11"/>
        <v>-8815000</v>
      </c>
      <c r="F57" s="1525">
        <f t="shared" si="3"/>
        <v>-5781250</v>
      </c>
      <c r="G57" s="1525"/>
      <c r="H57" s="1525">
        <f t="shared" si="6"/>
        <v>-6375000</v>
      </c>
      <c r="I57" s="1515"/>
      <c r="J57" s="1515"/>
      <c r="K57" s="1525">
        <f t="shared" si="9"/>
        <v>-4875000</v>
      </c>
      <c r="L57" s="1525">
        <f t="shared" si="9"/>
        <v>-8625000</v>
      </c>
      <c r="M57" s="1525">
        <f t="shared" si="9"/>
        <v>-11400000</v>
      </c>
      <c r="N57" s="1525"/>
      <c r="O57" s="1525">
        <f t="shared" si="9"/>
        <v>-5713750</v>
      </c>
      <c r="P57" s="1525">
        <f t="shared" si="5"/>
        <v>-3320000</v>
      </c>
      <c r="Q57" s="1526">
        <f t="shared" ref="Q57" si="24">Q56</f>
        <v>-5375000</v>
      </c>
      <c r="R57" s="1514"/>
      <c r="S57" s="1080"/>
      <c r="T57" s="1080"/>
      <c r="U57" s="1080"/>
      <c r="V57" s="1080"/>
      <c r="W57" s="1080"/>
      <c r="X57" s="1080"/>
      <c r="Y57" s="1080"/>
      <c r="Z57" s="1080"/>
      <c r="AA57" s="248"/>
      <c r="AB57" s="352"/>
      <c r="AC57" s="285"/>
      <c r="AD57" s="118"/>
    </row>
    <row r="58" spans="1:30">
      <c r="A58" s="1"/>
      <c r="B58" s="1073">
        <v>42</v>
      </c>
      <c r="C58" s="1"/>
      <c r="D58" s="1514">
        <f t="shared" si="12"/>
        <v>-11343750</v>
      </c>
      <c r="E58" s="1525">
        <f t="shared" si="11"/>
        <v>-8815000</v>
      </c>
      <c r="F58" s="1525">
        <f t="shared" si="3"/>
        <v>-5781250</v>
      </c>
      <c r="G58" s="1525"/>
      <c r="H58" s="1525">
        <f t="shared" si="6"/>
        <v>-6375000</v>
      </c>
      <c r="I58" s="1515"/>
      <c r="J58" s="1515"/>
      <c r="K58" s="1525">
        <f t="shared" si="9"/>
        <v>-4875000</v>
      </c>
      <c r="L58" s="1525">
        <f t="shared" si="9"/>
        <v>-8625000</v>
      </c>
      <c r="M58" s="1525">
        <f t="shared" si="9"/>
        <v>-11400000</v>
      </c>
      <c r="N58" s="1525"/>
      <c r="O58" s="1525">
        <f t="shared" si="9"/>
        <v>-5713750</v>
      </c>
      <c r="P58" s="1525">
        <f t="shared" si="5"/>
        <v>-3320000</v>
      </c>
      <c r="Q58" s="1526">
        <f t="shared" ref="Q58" si="25">Q57</f>
        <v>-5375000</v>
      </c>
      <c r="R58" s="1514"/>
      <c r="S58" s="1080"/>
      <c r="T58" s="1080"/>
      <c r="U58" s="1080"/>
      <c r="V58" s="1080"/>
      <c r="W58" s="1080"/>
      <c r="X58" s="1080"/>
      <c r="Y58" s="1080"/>
      <c r="Z58" s="1080"/>
      <c r="AA58" s="248"/>
      <c r="AB58" s="352"/>
      <c r="AC58" s="284"/>
      <c r="AD58" s="118"/>
    </row>
    <row r="59" spans="1:30">
      <c r="A59" s="1"/>
      <c r="B59" s="1073">
        <v>43</v>
      </c>
      <c r="C59" s="1"/>
      <c r="D59" s="1514">
        <f t="shared" si="12"/>
        <v>-11343750</v>
      </c>
      <c r="E59" s="1525">
        <f t="shared" si="11"/>
        <v>-8815000</v>
      </c>
      <c r="F59" s="1525">
        <f t="shared" si="3"/>
        <v>-5781250</v>
      </c>
      <c r="G59" s="1525"/>
      <c r="H59" s="1525">
        <f t="shared" si="6"/>
        <v>-6375000</v>
      </c>
      <c r="I59" s="1515"/>
      <c r="J59" s="1515"/>
      <c r="K59" s="1525">
        <f t="shared" si="9"/>
        <v>-4875000</v>
      </c>
      <c r="L59" s="1525">
        <f t="shared" si="9"/>
        <v>-8625000</v>
      </c>
      <c r="M59" s="1525">
        <f t="shared" si="9"/>
        <v>-11400000</v>
      </c>
      <c r="N59" s="1525"/>
      <c r="O59" s="1525">
        <f t="shared" si="9"/>
        <v>-5713750</v>
      </c>
      <c r="P59" s="1525">
        <f t="shared" si="5"/>
        <v>-3320000</v>
      </c>
      <c r="Q59" s="1526">
        <f t="shared" ref="Q59" si="26">Q58</f>
        <v>-5375000</v>
      </c>
      <c r="R59" s="1514"/>
      <c r="S59" s="1080"/>
      <c r="T59" s="1080"/>
      <c r="U59" s="1080"/>
      <c r="V59" s="1080"/>
      <c r="W59" s="1080"/>
      <c r="X59" s="1080"/>
      <c r="Y59" s="1080"/>
      <c r="Z59" s="1080"/>
      <c r="AA59" s="248"/>
      <c r="AB59" s="352"/>
      <c r="AC59" s="284"/>
      <c r="AD59" s="118"/>
    </row>
    <row r="60" spans="1:30">
      <c r="A60" s="1"/>
      <c r="B60" s="1073">
        <v>44</v>
      </c>
      <c r="C60" s="1"/>
      <c r="D60" s="1514">
        <f t="shared" si="12"/>
        <v>-11343750</v>
      </c>
      <c r="E60" s="1525">
        <f t="shared" si="11"/>
        <v>-8815000</v>
      </c>
      <c r="F60" s="1525">
        <f t="shared" si="3"/>
        <v>-5781250</v>
      </c>
      <c r="G60" s="1525"/>
      <c r="H60" s="1525">
        <f t="shared" si="6"/>
        <v>-6375000</v>
      </c>
      <c r="I60" s="1515"/>
      <c r="J60" s="1515"/>
      <c r="K60" s="1525">
        <f t="shared" si="9"/>
        <v>-4875000</v>
      </c>
      <c r="L60" s="1525">
        <f t="shared" si="9"/>
        <v>-8625000</v>
      </c>
      <c r="M60" s="1525">
        <f t="shared" si="9"/>
        <v>-11400000</v>
      </c>
      <c r="N60" s="1525"/>
      <c r="O60" s="1525">
        <f t="shared" si="9"/>
        <v>-5713750</v>
      </c>
      <c r="P60" s="1525">
        <f t="shared" si="5"/>
        <v>-3320000</v>
      </c>
      <c r="Q60" s="1526">
        <f t="shared" ref="Q60" si="27">Q59</f>
        <v>-5375000</v>
      </c>
      <c r="R60" s="1514"/>
      <c r="S60" s="1080"/>
      <c r="T60" s="1080"/>
      <c r="U60" s="1080"/>
      <c r="V60" s="1080"/>
      <c r="W60" s="1080"/>
      <c r="X60" s="1080"/>
      <c r="Y60" s="1080"/>
      <c r="Z60" s="1080"/>
      <c r="AA60" s="248"/>
      <c r="AB60" s="352"/>
      <c r="AC60" s="285"/>
      <c r="AD60" s="118"/>
    </row>
    <row r="61" spans="1:30">
      <c r="A61" s="1"/>
      <c r="B61" s="1073">
        <v>45</v>
      </c>
      <c r="C61" s="1"/>
      <c r="D61" s="1514">
        <f t="shared" si="12"/>
        <v>-11343750</v>
      </c>
      <c r="E61" s="1525">
        <f t="shared" si="11"/>
        <v>-8815000</v>
      </c>
      <c r="F61" s="1525">
        <f t="shared" si="3"/>
        <v>-5781250</v>
      </c>
      <c r="G61" s="1525"/>
      <c r="H61" s="1525">
        <f t="shared" si="6"/>
        <v>-6375000</v>
      </c>
      <c r="I61" s="1515"/>
      <c r="J61" s="1515"/>
      <c r="K61" s="1525">
        <f t="shared" si="9"/>
        <v>-4875000</v>
      </c>
      <c r="L61" s="1525">
        <f t="shared" si="9"/>
        <v>-8625000</v>
      </c>
      <c r="M61" s="1525">
        <f t="shared" si="9"/>
        <v>-11400000</v>
      </c>
      <c r="N61" s="1525"/>
      <c r="O61" s="1525">
        <f t="shared" si="9"/>
        <v>-5713750</v>
      </c>
      <c r="P61" s="1525">
        <f t="shared" si="5"/>
        <v>-3320000</v>
      </c>
      <c r="Q61" s="1526">
        <f t="shared" ref="Q61" si="28">Q60</f>
        <v>-5375000</v>
      </c>
      <c r="R61" s="1514"/>
      <c r="S61" s="1080"/>
      <c r="T61" s="1080"/>
      <c r="U61" s="1080"/>
      <c r="V61" s="1080"/>
      <c r="W61" s="1080"/>
      <c r="X61" s="1080"/>
      <c r="Y61" s="1080"/>
      <c r="Z61" s="1080"/>
      <c r="AA61" s="248"/>
      <c r="AB61" s="352"/>
      <c r="AC61" s="284"/>
      <c r="AD61" s="118"/>
    </row>
    <row r="62" spans="1:30">
      <c r="A62" s="1"/>
      <c r="B62" s="1073">
        <v>46</v>
      </c>
      <c r="C62" s="1"/>
      <c r="D62" s="1514">
        <f t="shared" si="12"/>
        <v>-11343750</v>
      </c>
      <c r="E62" s="1525">
        <f t="shared" si="11"/>
        <v>-8815000</v>
      </c>
      <c r="F62" s="1525">
        <f t="shared" si="3"/>
        <v>-5781250</v>
      </c>
      <c r="G62" s="1525"/>
      <c r="H62" s="1525">
        <f t="shared" si="6"/>
        <v>-6375000</v>
      </c>
      <c r="I62" s="1515"/>
      <c r="J62" s="1515"/>
      <c r="K62" s="1525">
        <f t="shared" si="9"/>
        <v>-4875000</v>
      </c>
      <c r="L62" s="1525">
        <f t="shared" si="9"/>
        <v>-8625000</v>
      </c>
      <c r="M62" s="1525">
        <f t="shared" si="9"/>
        <v>-11400000</v>
      </c>
      <c r="N62" s="1525"/>
      <c r="O62" s="1525">
        <f t="shared" si="9"/>
        <v>-5713750</v>
      </c>
      <c r="P62" s="1525">
        <f t="shared" si="5"/>
        <v>-3320000</v>
      </c>
      <c r="Q62" s="1526">
        <f t="shared" ref="Q62" si="29">Q61</f>
        <v>-5375000</v>
      </c>
      <c r="R62" s="1514"/>
      <c r="S62" s="1080"/>
      <c r="T62" s="1080"/>
      <c r="U62" s="1080"/>
      <c r="V62" s="1080"/>
      <c r="W62" s="1080"/>
      <c r="X62" s="1080"/>
      <c r="Y62" s="1080"/>
      <c r="Z62" s="1080"/>
      <c r="AA62" s="248"/>
      <c r="AB62" s="352"/>
      <c r="AC62" s="284"/>
      <c r="AD62" s="118"/>
    </row>
    <row r="63" spans="1:30">
      <c r="A63" s="1"/>
      <c r="B63" s="1073">
        <v>47</v>
      </c>
      <c r="C63" s="1"/>
      <c r="D63" s="1514">
        <f t="shared" si="12"/>
        <v>-11343750</v>
      </c>
      <c r="E63" s="1525">
        <f t="shared" si="11"/>
        <v>-8815000</v>
      </c>
      <c r="F63" s="1525">
        <f t="shared" si="3"/>
        <v>-5781250</v>
      </c>
      <c r="G63" s="1525"/>
      <c r="H63" s="1525">
        <f t="shared" si="6"/>
        <v>-6375000</v>
      </c>
      <c r="I63" s="1515"/>
      <c r="J63" s="1515"/>
      <c r="K63" s="1525">
        <f t="shared" si="9"/>
        <v>-4875000</v>
      </c>
      <c r="L63" s="1525">
        <f t="shared" si="9"/>
        <v>-8625000</v>
      </c>
      <c r="M63" s="1525">
        <f t="shared" si="9"/>
        <v>-11400000</v>
      </c>
      <c r="N63" s="1525"/>
      <c r="O63" s="1525">
        <f t="shared" si="9"/>
        <v>-5713750</v>
      </c>
      <c r="P63" s="1525">
        <f t="shared" si="5"/>
        <v>-3320000</v>
      </c>
      <c r="Q63" s="1526">
        <f t="shared" ref="Q63" si="30">Q62</f>
        <v>-5375000</v>
      </c>
      <c r="R63" s="1514"/>
      <c r="S63" s="1080"/>
      <c r="T63" s="1080"/>
      <c r="U63" s="1080"/>
      <c r="V63" s="1080"/>
      <c r="W63" s="1080"/>
      <c r="X63" s="1080"/>
      <c r="Y63" s="1080"/>
      <c r="Z63" s="1080"/>
      <c r="AA63" s="248"/>
      <c r="AB63" s="352"/>
      <c r="AC63" s="285"/>
      <c r="AD63" s="118"/>
    </row>
    <row r="64" spans="1:30">
      <c r="A64" s="1"/>
      <c r="B64" s="1073">
        <v>48</v>
      </c>
      <c r="C64" s="1"/>
      <c r="D64" s="1514">
        <f t="shared" si="12"/>
        <v>-11343750</v>
      </c>
      <c r="E64" s="1525">
        <f t="shared" si="11"/>
        <v>-8815000</v>
      </c>
      <c r="F64" s="1525">
        <f t="shared" si="3"/>
        <v>-5781250</v>
      </c>
      <c r="G64" s="1525"/>
      <c r="H64" s="1525">
        <f t="shared" si="6"/>
        <v>-6375000</v>
      </c>
      <c r="I64" s="1515"/>
      <c r="J64" s="1515"/>
      <c r="K64" s="1525">
        <f t="shared" si="9"/>
        <v>-4875000</v>
      </c>
      <c r="L64" s="1525">
        <f t="shared" si="9"/>
        <v>-8625000</v>
      </c>
      <c r="M64" s="1525">
        <f t="shared" si="9"/>
        <v>-11400000</v>
      </c>
      <c r="N64" s="1525"/>
      <c r="O64" s="1525">
        <f t="shared" si="9"/>
        <v>-5713750</v>
      </c>
      <c r="P64" s="1525">
        <f t="shared" si="5"/>
        <v>-3320000</v>
      </c>
      <c r="Q64" s="1526">
        <f t="shared" ref="Q64" si="31">Q63</f>
        <v>-5375000</v>
      </c>
      <c r="R64" s="1514"/>
      <c r="S64" s="1080"/>
      <c r="T64" s="1080"/>
      <c r="U64" s="1080"/>
      <c r="V64" s="1080"/>
      <c r="W64" s="1080"/>
      <c r="X64" s="1080"/>
      <c r="Y64" s="1080"/>
      <c r="Z64" s="1080"/>
      <c r="AA64" s="248"/>
      <c r="AB64" s="352"/>
      <c r="AC64" s="284"/>
      <c r="AD64" s="118"/>
    </row>
    <row r="65" spans="1:30">
      <c r="A65" s="1"/>
      <c r="B65" s="1073">
        <v>49</v>
      </c>
      <c r="C65" s="1"/>
      <c r="D65" s="1514">
        <f t="shared" si="12"/>
        <v>-11343750</v>
      </c>
      <c r="E65" s="1525">
        <f t="shared" si="11"/>
        <v>-8815000</v>
      </c>
      <c r="F65" s="1525">
        <f t="shared" si="3"/>
        <v>-5781250</v>
      </c>
      <c r="G65" s="1525"/>
      <c r="H65" s="1525">
        <f t="shared" si="6"/>
        <v>-6375000</v>
      </c>
      <c r="I65" s="1515"/>
      <c r="J65" s="1515"/>
      <c r="K65" s="1525">
        <f t="shared" si="9"/>
        <v>-4875000</v>
      </c>
      <c r="L65" s="1525">
        <f t="shared" si="9"/>
        <v>-8625000</v>
      </c>
      <c r="M65" s="1525">
        <f t="shared" si="9"/>
        <v>-11400000</v>
      </c>
      <c r="N65" s="1525"/>
      <c r="O65" s="1525">
        <f t="shared" si="9"/>
        <v>-5713750</v>
      </c>
      <c r="P65" s="1525">
        <f t="shared" si="5"/>
        <v>-3320000</v>
      </c>
      <c r="Q65" s="1526">
        <f t="shared" ref="Q65" si="32">Q64</f>
        <v>-5375000</v>
      </c>
      <c r="R65" s="1514"/>
      <c r="S65" s="1080"/>
      <c r="T65" s="1080"/>
      <c r="U65" s="1080"/>
      <c r="V65" s="1080"/>
      <c r="W65" s="1080"/>
      <c r="X65" s="1080"/>
      <c r="Y65" s="1080"/>
      <c r="Z65" s="1080"/>
      <c r="AA65" s="248"/>
      <c r="AB65" s="352"/>
      <c r="AC65" s="284"/>
      <c r="AD65" s="118"/>
    </row>
    <row r="66" spans="1:30">
      <c r="A66" s="1"/>
      <c r="B66" s="1073">
        <v>50</v>
      </c>
      <c r="C66" s="1"/>
      <c r="D66" s="1514">
        <f t="shared" si="12"/>
        <v>-11343750</v>
      </c>
      <c r="E66" s="1525">
        <f t="shared" si="11"/>
        <v>-8815000</v>
      </c>
      <c r="F66" s="1525">
        <f t="shared" si="3"/>
        <v>-5781250</v>
      </c>
      <c r="G66" s="1525"/>
      <c r="H66" s="1525">
        <f t="shared" si="6"/>
        <v>-6375000</v>
      </c>
      <c r="I66" s="1515"/>
      <c r="J66" s="1515"/>
      <c r="K66" s="1525">
        <f t="shared" si="9"/>
        <v>-4875000</v>
      </c>
      <c r="L66" s="1525">
        <f t="shared" si="9"/>
        <v>-8625000</v>
      </c>
      <c r="M66" s="1525">
        <f t="shared" si="9"/>
        <v>-11400000</v>
      </c>
      <c r="N66" s="1525"/>
      <c r="O66" s="1525">
        <f t="shared" si="9"/>
        <v>-5713750</v>
      </c>
      <c r="P66" s="1525">
        <f t="shared" si="5"/>
        <v>-3320000</v>
      </c>
      <c r="Q66" s="1526">
        <f t="shared" ref="Q66" si="33">Q65</f>
        <v>-5375000</v>
      </c>
      <c r="R66" s="1514"/>
      <c r="S66" s="1080"/>
      <c r="T66" s="1080"/>
      <c r="U66" s="1080"/>
      <c r="V66" s="1080"/>
      <c r="W66" s="1080"/>
      <c r="X66" s="1080"/>
      <c r="Y66" s="1080"/>
      <c r="Z66" s="1080"/>
      <c r="AA66" s="248"/>
      <c r="AB66" s="352"/>
      <c r="AC66" s="285"/>
      <c r="AD66" s="118"/>
    </row>
    <row r="67" spans="1:30">
      <c r="A67" s="1"/>
      <c r="B67" s="1073">
        <v>51</v>
      </c>
      <c r="C67" s="1"/>
      <c r="D67" s="1514">
        <f t="shared" si="12"/>
        <v>-11343750</v>
      </c>
      <c r="E67" s="1525">
        <f t="shared" si="11"/>
        <v>-8815000</v>
      </c>
      <c r="F67" s="1525">
        <f t="shared" si="3"/>
        <v>-5781250</v>
      </c>
      <c r="G67" s="1525"/>
      <c r="H67" s="1525">
        <f t="shared" si="6"/>
        <v>-6375000</v>
      </c>
      <c r="I67" s="1515"/>
      <c r="J67" s="1515"/>
      <c r="K67" s="1525">
        <f t="shared" si="9"/>
        <v>-4875000</v>
      </c>
      <c r="L67" s="1525">
        <f t="shared" si="9"/>
        <v>-8625000</v>
      </c>
      <c r="M67" s="1525">
        <f t="shared" si="9"/>
        <v>-11400000</v>
      </c>
      <c r="N67" s="1525"/>
      <c r="O67" s="1525">
        <f t="shared" si="9"/>
        <v>-5713750</v>
      </c>
      <c r="P67" s="1525">
        <f t="shared" si="5"/>
        <v>-3320000</v>
      </c>
      <c r="Q67" s="1526">
        <f t="shared" ref="Q67" si="34">Q66</f>
        <v>-5375000</v>
      </c>
      <c r="R67" s="1514"/>
      <c r="S67" s="1080"/>
      <c r="T67" s="1080"/>
      <c r="U67" s="1080"/>
      <c r="V67" s="1080"/>
      <c r="W67" s="1080"/>
      <c r="X67" s="1080"/>
      <c r="Y67" s="1080"/>
      <c r="Z67" s="1080"/>
      <c r="AA67" s="1"/>
      <c r="AB67" s="352"/>
      <c r="AC67" s="284"/>
      <c r="AD67" s="118"/>
    </row>
    <row r="68" spans="1:30">
      <c r="A68" s="1"/>
      <c r="B68" s="1073">
        <v>52</v>
      </c>
      <c r="C68" s="1"/>
      <c r="D68" s="1514">
        <f t="shared" si="12"/>
        <v>-11343750</v>
      </c>
      <c r="E68" s="1525">
        <f t="shared" si="11"/>
        <v>-8815000</v>
      </c>
      <c r="F68" s="1525">
        <f t="shared" si="3"/>
        <v>-5781250</v>
      </c>
      <c r="G68" s="1525"/>
      <c r="H68" s="1525">
        <f t="shared" si="6"/>
        <v>-6375000</v>
      </c>
      <c r="I68" s="1515"/>
      <c r="J68" s="1515"/>
      <c r="K68" s="1525">
        <f t="shared" si="9"/>
        <v>-4875000</v>
      </c>
      <c r="L68" s="1525">
        <f t="shared" si="9"/>
        <v>-8625000</v>
      </c>
      <c r="M68" s="1525">
        <f t="shared" si="9"/>
        <v>-11400000</v>
      </c>
      <c r="N68" s="1525"/>
      <c r="O68" s="1525">
        <f t="shared" si="9"/>
        <v>-5713750</v>
      </c>
      <c r="P68" s="1525">
        <f t="shared" si="5"/>
        <v>-3320000</v>
      </c>
      <c r="Q68" s="1526">
        <f t="shared" ref="Q68" si="35">Q67</f>
        <v>-5375000</v>
      </c>
      <c r="R68" s="1514"/>
      <c r="S68" s="1080"/>
      <c r="T68" s="1080"/>
      <c r="U68" s="1080"/>
      <c r="V68" s="1080"/>
      <c r="W68" s="1080"/>
      <c r="X68" s="1080"/>
      <c r="Y68" s="1080"/>
      <c r="Z68" s="1080"/>
      <c r="AA68" s="1"/>
      <c r="AB68" s="352"/>
      <c r="AC68" s="284"/>
      <c r="AD68" s="118"/>
    </row>
    <row r="69" spans="1:30">
      <c r="A69" s="1"/>
      <c r="B69" s="1073">
        <v>53</v>
      </c>
      <c r="C69" s="1"/>
      <c r="D69" s="1514">
        <f t="shared" si="12"/>
        <v>-11343750</v>
      </c>
      <c r="E69" s="1525">
        <f t="shared" si="11"/>
        <v>-8815000</v>
      </c>
      <c r="F69" s="1525">
        <f t="shared" si="3"/>
        <v>-5781250</v>
      </c>
      <c r="G69" s="1525"/>
      <c r="H69" s="1525">
        <f t="shared" si="6"/>
        <v>-6375000</v>
      </c>
      <c r="I69" s="1515"/>
      <c r="J69" s="1515"/>
      <c r="K69" s="1525">
        <f t="shared" si="9"/>
        <v>-4875000</v>
      </c>
      <c r="L69" s="1525">
        <f>L68</f>
        <v>-8625000</v>
      </c>
      <c r="M69" s="1525">
        <f t="shared" ref="M69:M75" si="36">M68</f>
        <v>-11400000</v>
      </c>
      <c r="N69" s="1525"/>
      <c r="O69" s="1525">
        <f t="shared" si="9"/>
        <v>-5713750</v>
      </c>
      <c r="P69" s="1525">
        <f t="shared" si="5"/>
        <v>-3320000</v>
      </c>
      <c r="Q69" s="1526">
        <f t="shared" ref="Q69" si="37">Q68</f>
        <v>-5375000</v>
      </c>
      <c r="R69" s="1514"/>
      <c r="S69" s="1080"/>
      <c r="T69" s="1080"/>
      <c r="U69" s="1080"/>
      <c r="V69" s="1080"/>
      <c r="W69" s="1080"/>
      <c r="X69" s="1080"/>
      <c r="Y69" s="1080"/>
      <c r="Z69" s="1080"/>
      <c r="AA69" s="1"/>
      <c r="AB69" s="352"/>
      <c r="AC69" s="285"/>
      <c r="AD69" s="118"/>
    </row>
    <row r="70" spans="1:30">
      <c r="A70" s="1"/>
      <c r="B70" s="1073">
        <v>54</v>
      </c>
      <c r="C70" s="1"/>
      <c r="D70" s="1514">
        <f t="shared" si="12"/>
        <v>-11343750</v>
      </c>
      <c r="E70" s="1525">
        <f t="shared" si="11"/>
        <v>-8815000</v>
      </c>
      <c r="F70" s="1525">
        <f t="shared" si="3"/>
        <v>-5781250</v>
      </c>
      <c r="G70" s="1525"/>
      <c r="H70" s="1525">
        <f t="shared" si="6"/>
        <v>-6375000</v>
      </c>
      <c r="I70" s="1515"/>
      <c r="J70" s="1515"/>
      <c r="K70" s="1525">
        <f t="shared" si="9"/>
        <v>-4875000</v>
      </c>
      <c r="L70" s="1525">
        <f t="shared" ref="L70" si="38">L69</f>
        <v>-8625000</v>
      </c>
      <c r="M70" s="1525">
        <f t="shared" si="36"/>
        <v>-11400000</v>
      </c>
      <c r="N70" s="1525"/>
      <c r="O70" s="1525">
        <f t="shared" si="9"/>
        <v>-5713750</v>
      </c>
      <c r="P70" s="1525">
        <f t="shared" si="5"/>
        <v>-3320000</v>
      </c>
      <c r="Q70" s="1526">
        <f t="shared" ref="Q70" si="39">Q69</f>
        <v>-5375000</v>
      </c>
      <c r="R70" s="1514"/>
      <c r="S70" s="1080"/>
      <c r="T70" s="1080"/>
      <c r="U70" s="1080"/>
      <c r="V70" s="1080"/>
      <c r="W70" s="1080"/>
      <c r="X70" s="1080"/>
      <c r="Y70" s="1080"/>
      <c r="Z70" s="1080"/>
      <c r="AA70" s="1"/>
      <c r="AB70" s="352"/>
      <c r="AC70" s="284"/>
      <c r="AD70" s="118"/>
    </row>
    <row r="71" spans="1:30">
      <c r="A71" s="1"/>
      <c r="B71" s="1073">
        <v>55</v>
      </c>
      <c r="C71" s="1"/>
      <c r="D71" s="1514">
        <f t="shared" si="12"/>
        <v>-11343750</v>
      </c>
      <c r="E71" s="1525">
        <f t="shared" si="11"/>
        <v>-8815000</v>
      </c>
      <c r="F71" s="1525">
        <f t="shared" si="3"/>
        <v>-5781250</v>
      </c>
      <c r="G71" s="1525"/>
      <c r="H71" s="1525">
        <f t="shared" si="6"/>
        <v>-6375000</v>
      </c>
      <c r="I71" s="1515"/>
      <c r="J71" s="1515"/>
      <c r="K71" s="1525">
        <f t="shared" si="9"/>
        <v>-4875000</v>
      </c>
      <c r="L71" s="1525">
        <f t="shared" ref="L71" si="40">L70</f>
        <v>-8625000</v>
      </c>
      <c r="M71" s="1525">
        <f t="shared" si="36"/>
        <v>-11400000</v>
      </c>
      <c r="N71" s="1525"/>
      <c r="O71" s="1525">
        <f t="shared" si="9"/>
        <v>-5713750</v>
      </c>
      <c r="P71" s="1525">
        <f t="shared" si="5"/>
        <v>-3320000</v>
      </c>
      <c r="Q71" s="1526">
        <f t="shared" ref="Q71" si="41">Q70</f>
        <v>-5375000</v>
      </c>
      <c r="R71" s="1514"/>
      <c r="S71" s="1080"/>
      <c r="T71" s="1073"/>
      <c r="U71" s="1073"/>
      <c r="V71" s="1080"/>
      <c r="W71" s="1080"/>
      <c r="X71" s="1080"/>
      <c r="Y71" s="1080"/>
      <c r="Z71" s="1073"/>
      <c r="AA71" s="1"/>
      <c r="AB71" s="352"/>
      <c r="AC71" s="284"/>
      <c r="AD71" s="118"/>
    </row>
    <row r="72" spans="1:30">
      <c r="A72" s="1"/>
      <c r="B72" s="1073">
        <v>56</v>
      </c>
      <c r="C72" s="1"/>
      <c r="D72" s="1514">
        <f t="shared" si="12"/>
        <v>-11343750</v>
      </c>
      <c r="E72" s="1525">
        <f t="shared" si="11"/>
        <v>-8815000</v>
      </c>
      <c r="F72" s="1525">
        <f t="shared" si="3"/>
        <v>-5781250</v>
      </c>
      <c r="G72" s="1525"/>
      <c r="H72" s="1525">
        <f t="shared" si="6"/>
        <v>-6375000</v>
      </c>
      <c r="I72" s="1515"/>
      <c r="J72" s="1515"/>
      <c r="K72" s="1525">
        <f t="shared" si="9"/>
        <v>-4875000</v>
      </c>
      <c r="L72" s="1525">
        <f t="shared" ref="L72" si="42">L71</f>
        <v>-8625000</v>
      </c>
      <c r="M72" s="1525">
        <f t="shared" si="36"/>
        <v>-11400000</v>
      </c>
      <c r="N72" s="1525"/>
      <c r="O72" s="1525">
        <f t="shared" si="9"/>
        <v>-5713750</v>
      </c>
      <c r="P72" s="1525">
        <f t="shared" si="5"/>
        <v>-3320000</v>
      </c>
      <c r="Q72" s="1526">
        <f t="shared" ref="Q72" si="43">Q71</f>
        <v>-5375000</v>
      </c>
      <c r="R72" s="1514"/>
      <c r="S72" s="1080"/>
      <c r="T72" s="1073"/>
      <c r="U72" s="1073"/>
      <c r="V72" s="1080"/>
      <c r="W72" s="1080"/>
      <c r="X72" s="1080"/>
      <c r="Y72" s="1080"/>
      <c r="Z72" s="1073"/>
      <c r="AA72" s="1"/>
      <c r="AB72" s="352"/>
      <c r="AC72" s="285"/>
      <c r="AD72" s="118"/>
    </row>
    <row r="73" spans="1:30">
      <c r="A73" s="1"/>
      <c r="B73" s="1073">
        <v>57</v>
      </c>
      <c r="C73" s="1"/>
      <c r="D73" s="1514">
        <f t="shared" si="12"/>
        <v>-11343750</v>
      </c>
      <c r="E73" s="1525">
        <f t="shared" si="11"/>
        <v>-8815000</v>
      </c>
      <c r="F73" s="1525">
        <f t="shared" si="3"/>
        <v>-5781250</v>
      </c>
      <c r="G73" s="1525"/>
      <c r="H73" s="1525">
        <f t="shared" si="6"/>
        <v>-6375000</v>
      </c>
      <c r="I73" s="1515"/>
      <c r="J73" s="1515"/>
      <c r="K73" s="1525">
        <f t="shared" si="9"/>
        <v>-4875000</v>
      </c>
      <c r="L73" s="1525">
        <f t="shared" ref="L73" si="44">L72</f>
        <v>-8625000</v>
      </c>
      <c r="M73" s="1525">
        <f t="shared" si="36"/>
        <v>-11400000</v>
      </c>
      <c r="N73" s="1525"/>
      <c r="O73" s="1525">
        <f t="shared" si="9"/>
        <v>-5713750</v>
      </c>
      <c r="P73" s="1525">
        <f t="shared" si="5"/>
        <v>-3320000</v>
      </c>
      <c r="Q73" s="1526">
        <f t="shared" ref="Q73" si="45">Q72</f>
        <v>-5375000</v>
      </c>
      <c r="R73" s="1514"/>
      <c r="S73" s="1080"/>
      <c r="T73" s="1073"/>
      <c r="U73" s="1073"/>
      <c r="V73" s="1080"/>
      <c r="W73" s="1080"/>
      <c r="X73" s="1080"/>
      <c r="Y73" s="1080"/>
      <c r="Z73" s="1073"/>
      <c r="AA73" s="1"/>
      <c r="AB73" s="352"/>
      <c r="AC73" s="284"/>
      <c r="AD73" s="118"/>
    </row>
    <row r="74" spans="1:30">
      <c r="A74" s="1"/>
      <c r="B74" s="1073">
        <v>58</v>
      </c>
      <c r="C74" s="1"/>
      <c r="D74" s="1514">
        <f t="shared" si="12"/>
        <v>-11343750</v>
      </c>
      <c r="E74" s="1525">
        <f t="shared" si="11"/>
        <v>-8815000</v>
      </c>
      <c r="F74" s="1525">
        <f t="shared" si="3"/>
        <v>-5781250</v>
      </c>
      <c r="G74" s="1525"/>
      <c r="H74" s="1525">
        <f t="shared" si="6"/>
        <v>-6375000</v>
      </c>
      <c r="I74" s="1515"/>
      <c r="J74" s="1515"/>
      <c r="K74" s="1525">
        <f t="shared" si="9"/>
        <v>-4875000</v>
      </c>
      <c r="L74" s="1525">
        <f t="shared" ref="L74" si="46">L73</f>
        <v>-8625000</v>
      </c>
      <c r="M74" s="1525">
        <f t="shared" si="36"/>
        <v>-11400000</v>
      </c>
      <c r="N74" s="1525"/>
      <c r="O74" s="1525">
        <f t="shared" si="9"/>
        <v>-5713750</v>
      </c>
      <c r="P74" s="1525">
        <f t="shared" si="5"/>
        <v>-3320000</v>
      </c>
      <c r="Q74" s="1526">
        <f t="shared" ref="Q74" si="47">Q73</f>
        <v>-5375000</v>
      </c>
      <c r="R74" s="1514"/>
      <c r="S74" s="1080"/>
      <c r="T74" s="1073"/>
      <c r="U74" s="1073"/>
      <c r="V74" s="1080"/>
      <c r="W74" s="1080"/>
      <c r="X74" s="1080"/>
      <c r="Y74" s="1080"/>
      <c r="Z74" s="1073"/>
      <c r="AA74" s="1"/>
      <c r="AB74" s="353"/>
      <c r="AC74" s="284"/>
      <c r="AD74" s="119"/>
    </row>
    <row r="75" spans="1:30">
      <c r="A75" s="1"/>
      <c r="B75" s="1073">
        <v>59</v>
      </c>
      <c r="C75" s="1"/>
      <c r="D75" s="1514">
        <f t="shared" si="12"/>
        <v>-11343750</v>
      </c>
      <c r="E75" s="1525">
        <f t="shared" si="11"/>
        <v>-8815000</v>
      </c>
      <c r="F75" s="1525">
        <f t="shared" si="3"/>
        <v>-5781250</v>
      </c>
      <c r="G75" s="1525"/>
      <c r="H75" s="1525">
        <f t="shared" si="6"/>
        <v>-6375000</v>
      </c>
      <c r="I75" s="1515"/>
      <c r="J75" s="1515"/>
      <c r="K75" s="1525">
        <f t="shared" si="9"/>
        <v>-4875000</v>
      </c>
      <c r="L75" s="1525">
        <f t="shared" ref="L75" si="48">L74</f>
        <v>-8625000</v>
      </c>
      <c r="M75" s="1525">
        <f t="shared" si="36"/>
        <v>-11400000</v>
      </c>
      <c r="N75" s="1525"/>
      <c r="O75" s="1525">
        <f t="shared" si="9"/>
        <v>-5713750</v>
      </c>
      <c r="P75" s="1525">
        <f t="shared" si="5"/>
        <v>-3320000</v>
      </c>
      <c r="Q75" s="1526">
        <f t="shared" ref="Q75" si="49">Q74</f>
        <v>-5375000</v>
      </c>
      <c r="R75" s="1514"/>
      <c r="S75" s="1080"/>
      <c r="T75" s="1073"/>
      <c r="U75" s="1073"/>
      <c r="V75" s="1080"/>
      <c r="W75" s="1080"/>
      <c r="X75" s="1080"/>
      <c r="Y75" s="1080"/>
      <c r="Z75" s="1073"/>
      <c r="AA75" s="1"/>
      <c r="AB75" s="55"/>
    </row>
    <row r="76" spans="1:30">
      <c r="A76" s="1"/>
      <c r="B76" s="1073">
        <v>60</v>
      </c>
      <c r="C76" s="1"/>
      <c r="D76" s="1514">
        <f>+D75-D9</f>
        <v>-561343750</v>
      </c>
      <c r="E76" s="1525">
        <f>+E75-E9</f>
        <v>-438815000</v>
      </c>
      <c r="F76" s="1525">
        <f>+F75-F9</f>
        <v>-255781250</v>
      </c>
      <c r="G76" s="1525"/>
      <c r="H76" s="1525">
        <f>+H75-H9</f>
        <v>-306375000</v>
      </c>
      <c r="I76" s="1515"/>
      <c r="J76" s="1526"/>
      <c r="K76" s="1525">
        <f>+K75-K9</f>
        <v>-304875000</v>
      </c>
      <c r="L76" s="1525">
        <f>+L75-L9</f>
        <v>-508625000</v>
      </c>
      <c r="M76" s="1525">
        <f>+M75-M9</f>
        <v>-411400000</v>
      </c>
      <c r="N76" s="1525"/>
      <c r="O76" s="1525">
        <f>+O75-O9</f>
        <v>-180713750</v>
      </c>
      <c r="P76" s="1525">
        <f>P75-P9</f>
        <v>-103320000</v>
      </c>
      <c r="Q76" s="1525">
        <f>Q75-Q9</f>
        <v>-255375000</v>
      </c>
      <c r="R76" s="1514"/>
      <c r="S76" s="1080"/>
      <c r="T76" s="1073"/>
      <c r="U76" s="1073"/>
      <c r="V76" s="1080"/>
      <c r="W76" s="1080"/>
      <c r="X76" s="1080"/>
      <c r="Y76" s="1080"/>
      <c r="Z76" s="1073"/>
      <c r="AA76" s="1"/>
      <c r="AB76" s="55"/>
    </row>
    <row r="77" spans="1:30">
      <c r="A77" s="1"/>
      <c r="B77" s="1073">
        <v>61</v>
      </c>
      <c r="C77" s="1"/>
      <c r="D77" s="1405"/>
      <c r="E77" s="1405"/>
      <c r="F77" s="1405"/>
      <c r="G77" s="1525"/>
      <c r="H77" s="1525"/>
      <c r="I77" s="1525"/>
      <c r="J77" s="1525"/>
      <c r="K77" s="1405"/>
      <c r="L77" s="1405"/>
      <c r="M77" s="1405"/>
      <c r="N77" s="1405"/>
      <c r="O77" s="1405"/>
      <c r="P77" s="1405"/>
      <c r="Q77" s="1405"/>
      <c r="R77" s="1405"/>
      <c r="S77" s="1073"/>
      <c r="T77" s="1073"/>
      <c r="U77" s="1073"/>
      <c r="V77" s="1073"/>
      <c r="W77" s="1073"/>
      <c r="X77" s="1073"/>
      <c r="Y77" s="1073"/>
      <c r="Z77" s="1073"/>
      <c r="AA77" s="1"/>
      <c r="AB77" s="55"/>
    </row>
    <row r="78" spans="1:30">
      <c r="A78" s="1"/>
      <c r="B78" s="1073">
        <v>62</v>
      </c>
      <c r="C78" s="1"/>
      <c r="D78" s="1073"/>
      <c r="E78" s="1073"/>
      <c r="F78" s="1073"/>
      <c r="G78" s="1080"/>
      <c r="H78" s="1080"/>
      <c r="I78" s="1080"/>
      <c r="J78" s="1080"/>
      <c r="K78" s="1073"/>
      <c r="L78" s="1073"/>
      <c r="M78" s="1073"/>
      <c r="N78" s="1073"/>
      <c r="O78" s="1073"/>
      <c r="P78" s="1073"/>
      <c r="Q78" s="1073"/>
      <c r="R78" s="1073"/>
      <c r="S78" s="1073"/>
      <c r="T78" s="1073"/>
      <c r="U78" s="1073"/>
      <c r="V78" s="1073"/>
      <c r="W78" s="1073"/>
      <c r="X78" s="1073"/>
      <c r="Y78" s="1073"/>
      <c r="Z78" s="1073"/>
      <c r="AA78" s="1"/>
      <c r="AB78" s="55"/>
    </row>
    <row r="79" spans="1:30">
      <c r="B79" s="42"/>
      <c r="C79" s="42"/>
    </row>
    <row r="80" spans="1:30">
      <c r="B80" s="42"/>
      <c r="C80" s="42"/>
    </row>
    <row r="81" spans="2:3">
      <c r="B81" s="42"/>
      <c r="C81" s="42"/>
    </row>
    <row r="82" spans="2:3">
      <c r="B82" s="42"/>
      <c r="C82" s="42"/>
    </row>
    <row r="83" spans="2:3">
      <c r="B83" s="42"/>
      <c r="C83" s="42"/>
    </row>
    <row r="84" spans="2:3">
      <c r="B84" s="42"/>
      <c r="C84" s="42"/>
    </row>
    <row r="85" spans="2:3">
      <c r="B85" s="42"/>
      <c r="C85" s="42"/>
    </row>
    <row r="86" spans="2:3">
      <c r="B86" s="42"/>
      <c r="C86" s="42"/>
    </row>
    <row r="87" spans="2:3">
      <c r="B87" s="42"/>
      <c r="C87" s="42"/>
    </row>
  </sheetData>
  <mergeCells count="4">
    <mergeCell ref="A4:AB4"/>
    <mergeCell ref="A1:AB1"/>
    <mergeCell ref="A3:AB3"/>
    <mergeCell ref="A2:AB2"/>
  </mergeCells>
  <phoneticPr fontId="26" type="noConversion"/>
  <printOptions horizontalCentered="1"/>
  <pageMargins left="0.5" right="0.75" top="0.85" bottom="1" header="0.67" footer="0.5"/>
  <pageSetup scale="34" orientation="landscape" r:id="rId1"/>
  <headerFooter alignWithMargins="0">
    <oddHeader>&amp;C&amp;"Times New Roman,Bold"&amp;16ATTACHMENT D, Page &amp;P of &amp;N
EVERGY</oddHeader>
    <oddFooter>&amp;R&amp;1#&amp;"Calibri"&amp;10&amp;KA80000Internal Use Only</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pageSetUpPr fitToPage="1"/>
  </sheetPr>
  <dimension ref="A1:P24"/>
  <sheetViews>
    <sheetView view="pageBreakPreview" zoomScale="90" zoomScaleNormal="100" zoomScaleSheetLayoutView="90" workbookViewId="0">
      <selection sqref="A1:N1"/>
    </sheetView>
  </sheetViews>
  <sheetFormatPr defaultRowHeight="13.2"/>
  <cols>
    <col min="1" max="1" width="3.109375" customWidth="1"/>
    <col min="2" max="2" width="46.44140625" customWidth="1"/>
    <col min="3" max="3" width="3.6640625" customWidth="1"/>
    <col min="4" max="4" width="16.33203125" customWidth="1"/>
    <col min="5" max="5" width="3.6640625" customWidth="1"/>
    <col min="6" max="6" width="11.44140625" customWidth="1"/>
    <col min="7" max="7" width="3.6640625" customWidth="1"/>
    <col min="8" max="8" width="11.33203125" customWidth="1"/>
    <col min="9" max="9" width="15.33203125" customWidth="1"/>
    <col min="10" max="10" width="3.6640625" customWidth="1"/>
    <col min="11" max="12" width="12.6640625" customWidth="1"/>
    <col min="13" max="13" width="3.5546875" customWidth="1"/>
    <col min="14" max="14" width="13.6640625" customWidth="1"/>
    <col min="17" max="17" width="14" customWidth="1"/>
  </cols>
  <sheetData>
    <row r="1" spans="1:16" ht="21">
      <c r="A1" s="1713" t="str">
        <f>'Wrksht. U, YTM Bonds 1'!A1:AB1</f>
        <v>WORKSHEET U, LTD COST</v>
      </c>
      <c r="B1" s="1716"/>
      <c r="C1" s="1716"/>
      <c r="D1" s="1716"/>
      <c r="E1" s="1716"/>
      <c r="F1" s="1716"/>
      <c r="G1" s="1716"/>
      <c r="H1" s="1716"/>
      <c r="I1" s="1716"/>
      <c r="J1" s="1716"/>
      <c r="K1" s="1716"/>
      <c r="L1" s="1716"/>
      <c r="M1" s="1716"/>
      <c r="N1" s="1716"/>
    </row>
    <row r="2" spans="1:16" ht="19.2">
      <c r="A2" s="1725" t="str">
        <f>' Net Monthly Bill'!A2:B2</f>
        <v>For Contract Year Beginning June 1, 2024, Based on 2023 Data</v>
      </c>
      <c r="B2" s="1726"/>
      <c r="C2" s="1726"/>
      <c r="D2" s="1726"/>
      <c r="E2" s="1726"/>
      <c r="F2" s="1726"/>
      <c r="G2" s="1726"/>
      <c r="H2" s="1726"/>
      <c r="I2" s="1726"/>
      <c r="J2" s="1726"/>
      <c r="K2" s="1726"/>
      <c r="L2" s="1726"/>
      <c r="M2" s="1726"/>
      <c r="N2" s="1726"/>
    </row>
    <row r="3" spans="1:16" ht="21">
      <c r="A3" s="1713"/>
      <c r="B3" s="1716"/>
      <c r="C3" s="1716"/>
      <c r="D3" s="1716"/>
      <c r="E3" s="1716"/>
      <c r="F3" s="1716"/>
      <c r="G3" s="1716"/>
      <c r="H3" s="1716"/>
      <c r="I3" s="1716"/>
      <c r="J3" s="1716"/>
      <c r="K3" s="1716"/>
      <c r="L3" s="1716"/>
      <c r="M3" s="1716"/>
      <c r="N3" s="1716"/>
    </row>
    <row r="4" spans="1:16" ht="21">
      <c r="A4" s="1713" t="s">
        <v>676</v>
      </c>
      <c r="B4" s="1716"/>
      <c r="C4" s="1716"/>
      <c r="D4" s="1716"/>
      <c r="E4" s="1716"/>
      <c r="F4" s="1716"/>
      <c r="G4" s="1716"/>
      <c r="H4" s="1716"/>
      <c r="I4" s="1716"/>
      <c r="J4" s="1716"/>
      <c r="K4" s="1716"/>
      <c r="L4" s="1716"/>
      <c r="M4" s="1716"/>
      <c r="N4" s="1716"/>
    </row>
    <row r="5" spans="1:16" ht="15.6">
      <c r="A5" s="642"/>
      <c r="B5" s="642"/>
      <c r="C5" s="642"/>
      <c r="D5" s="642"/>
      <c r="E5" s="642"/>
      <c r="F5" s="642"/>
      <c r="G5" s="642"/>
      <c r="H5" s="642"/>
      <c r="I5" s="642"/>
      <c r="J5" s="642"/>
      <c r="K5" s="642"/>
      <c r="L5" s="642"/>
      <c r="M5" s="642"/>
      <c r="N5" s="960"/>
    </row>
    <row r="6" spans="1:16" ht="18.600000000000001">
      <c r="A6" s="642"/>
      <c r="B6" s="1081"/>
      <c r="C6" s="657"/>
      <c r="D6" s="1082" t="s">
        <v>882</v>
      </c>
      <c r="E6" s="1082"/>
      <c r="F6" s="1082" t="s">
        <v>883</v>
      </c>
      <c r="G6" s="657"/>
      <c r="H6" s="1806" t="s">
        <v>783</v>
      </c>
      <c r="I6" s="1807"/>
      <c r="J6" s="657"/>
      <c r="K6" s="1806" t="s">
        <v>1806</v>
      </c>
      <c r="L6" s="1807"/>
      <c r="M6" s="919"/>
      <c r="N6" s="1083" t="s">
        <v>1093</v>
      </c>
      <c r="P6" s="40"/>
    </row>
    <row r="7" spans="1:16" ht="15.6">
      <c r="A7" s="642"/>
      <c r="B7" s="915" t="s">
        <v>784</v>
      </c>
      <c r="C7" s="1084"/>
      <c r="D7" s="687" t="s">
        <v>1417</v>
      </c>
      <c r="E7" s="687"/>
      <c r="F7" s="687" t="s">
        <v>1417</v>
      </c>
      <c r="G7" s="1084"/>
      <c r="H7" s="1085" t="s">
        <v>1425</v>
      </c>
      <c r="I7" s="1085" t="s">
        <v>1415</v>
      </c>
      <c r="J7" s="1084"/>
      <c r="K7" s="1085" t="s">
        <v>785</v>
      </c>
      <c r="L7" s="1085" t="s">
        <v>786</v>
      </c>
      <c r="M7" s="919"/>
      <c r="N7" s="1532" t="s">
        <v>3553</v>
      </c>
      <c r="P7" s="40"/>
    </row>
    <row r="8" spans="1:16" ht="15.6">
      <c r="A8" s="642"/>
      <c r="B8" s="1086"/>
      <c r="C8" s="642"/>
      <c r="D8" s="642"/>
      <c r="E8" s="642"/>
      <c r="F8" s="642"/>
      <c r="G8" s="642"/>
      <c r="H8" s="642"/>
      <c r="I8" s="642"/>
      <c r="J8" s="642"/>
      <c r="K8" s="642"/>
      <c r="L8" s="642"/>
      <c r="M8" s="642"/>
      <c r="N8" s="960"/>
    </row>
    <row r="9" spans="1:16" ht="15.6">
      <c r="A9" s="642">
        <v>1</v>
      </c>
      <c r="B9" s="1150"/>
      <c r="C9" s="642"/>
      <c r="D9" s="1151"/>
      <c r="E9" s="642"/>
      <c r="F9" s="1152"/>
      <c r="G9" s="642"/>
      <c r="H9" s="1164"/>
      <c r="I9" s="1163"/>
      <c r="J9" s="642"/>
      <c r="K9" s="1230"/>
      <c r="L9" s="1231"/>
      <c r="M9" s="702"/>
      <c r="N9" s="1163"/>
    </row>
    <row r="10" spans="1:16" ht="15.6">
      <c r="A10" s="642" t="s">
        <v>476</v>
      </c>
      <c r="B10" s="1122"/>
      <c r="C10" s="642"/>
      <c r="D10" s="55"/>
      <c r="E10" s="55"/>
      <c r="F10" s="55"/>
      <c r="G10" s="55"/>
      <c r="H10" s="55"/>
      <c r="I10" s="55"/>
      <c r="J10" s="55"/>
      <c r="K10" s="1230"/>
      <c r="L10" s="1231"/>
      <c r="M10" s="55"/>
      <c r="N10" s="55"/>
    </row>
    <row r="11" spans="1:16" ht="15.6">
      <c r="A11" s="642"/>
      <c r="B11" s="642"/>
      <c r="C11" s="642"/>
      <c r="D11" s="1087"/>
      <c r="E11" s="642"/>
      <c r="F11" s="642"/>
      <c r="G11" s="642"/>
      <c r="H11" s="1088"/>
      <c r="I11" s="1089"/>
      <c r="J11" s="730"/>
      <c r="K11" s="730"/>
      <c r="L11" s="730"/>
      <c r="M11" s="730"/>
      <c r="N11" s="949"/>
    </row>
    <row r="12" spans="1:16" ht="15.6">
      <c r="A12" s="642">
        <v>2</v>
      </c>
      <c r="B12" s="1150"/>
      <c r="C12" s="642"/>
      <c r="D12" s="1151"/>
      <c r="E12" s="642"/>
      <c r="F12" s="1152"/>
      <c r="G12" s="642"/>
      <c r="H12" s="1152"/>
      <c r="I12" s="1151"/>
      <c r="J12" s="642"/>
      <c r="K12" s="1230" t="s">
        <v>476</v>
      </c>
      <c r="L12" s="1231" t="s">
        <v>476</v>
      </c>
      <c r="M12" s="642"/>
      <c r="N12" s="596"/>
    </row>
    <row r="13" spans="1:16" ht="15.6">
      <c r="A13" s="642"/>
      <c r="B13" s="1122"/>
      <c r="C13" s="642"/>
      <c r="D13" s="55"/>
      <c r="E13" s="55"/>
      <c r="F13" s="55"/>
      <c r="G13" s="55"/>
      <c r="H13" s="55"/>
      <c r="I13" s="55"/>
      <c r="J13" s="55"/>
      <c r="K13" s="55"/>
      <c r="L13" s="55"/>
      <c r="M13" s="55"/>
      <c r="N13" s="55"/>
    </row>
    <row r="14" spans="1:16" ht="15.6">
      <c r="A14" s="642"/>
      <c r="B14" s="642"/>
      <c r="C14" s="642"/>
      <c r="D14" s="1087"/>
      <c r="E14" s="642"/>
      <c r="F14" s="642"/>
      <c r="G14" s="642"/>
      <c r="H14" s="1088"/>
      <c r="I14" s="1089"/>
      <c r="J14" s="730"/>
      <c r="K14" s="730"/>
      <c r="L14" s="730"/>
      <c r="M14" s="730"/>
      <c r="N14" s="949"/>
    </row>
    <row r="15" spans="1:16" ht="15.6">
      <c r="A15" s="1090">
        <v>3</v>
      </c>
      <c r="B15" s="1153"/>
      <c r="C15" s="642"/>
      <c r="D15" s="1154"/>
      <c r="E15" s="642"/>
      <c r="F15" s="1155"/>
      <c r="G15" s="642"/>
      <c r="H15" s="1155"/>
      <c r="I15" s="1154"/>
      <c r="J15" s="1090"/>
      <c r="K15" s="1156"/>
      <c r="L15" s="1157"/>
      <c r="M15" s="1090"/>
      <c r="N15" s="596">
        <f>D15-(SUM(I15:I15))</f>
        <v>0</v>
      </c>
    </row>
    <row r="16" spans="1:16" ht="15.6">
      <c r="A16" s="642"/>
      <c r="B16" s="1123"/>
      <c r="C16" s="642"/>
    </row>
    <row r="17" spans="1:14" ht="15.6">
      <c r="A17" s="642"/>
      <c r="B17" s="642"/>
      <c r="C17" s="642"/>
      <c r="D17" s="862"/>
      <c r="E17" s="862"/>
      <c r="F17" s="862"/>
      <c r="G17" s="862"/>
      <c r="H17" s="949"/>
      <c r="I17" s="949"/>
      <c r="J17" s="949"/>
      <c r="K17" s="949"/>
      <c r="L17" s="949"/>
      <c r="M17" s="949"/>
      <c r="N17" s="949"/>
    </row>
    <row r="18" spans="1:14" ht="15.6">
      <c r="A18" s="642">
        <v>4</v>
      </c>
      <c r="B18" s="917"/>
      <c r="C18" s="642"/>
      <c r="D18" s="642"/>
      <c r="E18" s="642"/>
      <c r="F18" s="642"/>
      <c r="G18" s="642"/>
      <c r="H18" s="1091"/>
      <c r="I18" s="1092"/>
      <c r="J18" s="642"/>
      <c r="K18" s="642"/>
      <c r="L18" s="642"/>
      <c r="M18" s="642"/>
      <c r="N18" s="862"/>
    </row>
    <row r="19" spans="1:14" ht="15.6">
      <c r="A19" s="914"/>
      <c r="B19" s="914"/>
      <c r="C19" s="914"/>
      <c r="D19" s="914"/>
      <c r="E19" s="914"/>
      <c r="F19" s="914"/>
      <c r="G19" s="914"/>
      <c r="H19" s="1093"/>
      <c r="I19" s="1094"/>
      <c r="J19" s="914"/>
      <c r="K19" s="914"/>
      <c r="L19" s="914"/>
      <c r="M19" s="914"/>
      <c r="N19" s="1095"/>
    </row>
    <row r="20" spans="1:14" ht="15.6">
      <c r="A20" s="726" t="s">
        <v>110</v>
      </c>
      <c r="B20" s="642"/>
      <c r="C20" s="642"/>
      <c r="D20" s="642"/>
      <c r="E20" s="642"/>
      <c r="F20" s="642"/>
      <c r="G20" s="642"/>
      <c r="H20" s="1091"/>
      <c r="I20" s="1092"/>
      <c r="J20" s="642"/>
      <c r="K20" s="642"/>
      <c r="L20" s="642"/>
      <c r="M20" s="642"/>
      <c r="N20" s="960"/>
    </row>
    <row r="21" spans="1:14" ht="18.600000000000001">
      <c r="A21" s="660" t="s">
        <v>3050</v>
      </c>
      <c r="B21" s="960"/>
      <c r="C21" s="642"/>
      <c r="D21" s="642"/>
      <c r="E21" s="642"/>
      <c r="F21" s="642"/>
      <c r="G21" s="642"/>
      <c r="H21" s="1091"/>
      <c r="I21" s="1092"/>
      <c r="J21" s="642"/>
      <c r="K21" s="642"/>
      <c r="L21" s="642"/>
      <c r="M21" s="642"/>
      <c r="N21" s="960"/>
    </row>
    <row r="22" spans="1:14" ht="15.6">
      <c r="A22" s="642" t="s">
        <v>677</v>
      </c>
      <c r="B22" s="960"/>
      <c r="C22" s="960"/>
      <c r="D22" s="960"/>
      <c r="E22" s="960"/>
      <c r="F22" s="960"/>
      <c r="G22" s="960"/>
      <c r="H22" s="960"/>
      <c r="I22" s="960"/>
      <c r="J22" s="960"/>
      <c r="K22" s="960"/>
      <c r="L22" s="960"/>
      <c r="M22" s="960"/>
      <c r="N22" s="960"/>
    </row>
    <row r="24" spans="1:14">
      <c r="B24" s="231"/>
    </row>
  </sheetData>
  <mergeCells count="6">
    <mergeCell ref="H6:I6"/>
    <mergeCell ref="K6:L6"/>
    <mergeCell ref="A1:N1"/>
    <mergeCell ref="A3:N3"/>
    <mergeCell ref="A4:N4"/>
    <mergeCell ref="A2:N2"/>
  </mergeCells>
  <phoneticPr fontId="0" type="noConversion"/>
  <printOptions horizontalCentered="1"/>
  <pageMargins left="0.75" right="0.75" top="1" bottom="1" header="0.5" footer="0.5"/>
  <pageSetup scale="76" orientation="landscape" r:id="rId1"/>
  <headerFooter alignWithMargins="0">
    <oddHeader>&amp;C&amp;"Times New Roman,Bold"&amp;16ATTACHMENT D, Page &amp;P of &amp;N
EVERGY</oddHeader>
    <oddFooter>&amp;R&amp;1#&amp;"Calibri"&amp;10&amp;KA80000Internal Use Only</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dimension ref="A1:H52"/>
  <sheetViews>
    <sheetView view="pageBreakPreview" zoomScale="90" zoomScaleNormal="100" zoomScaleSheetLayoutView="90" workbookViewId="0">
      <selection sqref="A1:G1"/>
    </sheetView>
  </sheetViews>
  <sheetFormatPr defaultRowHeight="13.2"/>
  <cols>
    <col min="1" max="2" width="9.6640625" customWidth="1"/>
    <col min="3" max="7" width="18.6640625" customWidth="1"/>
    <col min="8" max="8" width="9.109375" hidden="1" customWidth="1"/>
  </cols>
  <sheetData>
    <row r="1" spans="1:7" ht="20.399999999999999">
      <c r="A1" s="1767" t="s">
        <v>1452</v>
      </c>
      <c r="B1" s="1767"/>
      <c r="C1" s="1713"/>
      <c r="D1" s="1713"/>
      <c r="E1" s="1713"/>
      <c r="F1" s="1713"/>
      <c r="G1" s="1713"/>
    </row>
    <row r="2" spans="1:7" ht="19.2">
      <c r="A2" s="1768" t="str">
        <f>' Net Monthly Bill'!A2:B2</f>
        <v>For Contract Year Beginning June 1, 2024, Based on 2023 Data</v>
      </c>
      <c r="B2" s="1726"/>
      <c r="C2" s="1726"/>
      <c r="D2" s="1726"/>
      <c r="E2" s="1726"/>
      <c r="F2" s="1726"/>
      <c r="G2" s="1726"/>
    </row>
    <row r="3" spans="1:7" ht="18">
      <c r="A3" s="1096"/>
      <c r="B3" s="700"/>
      <c r="C3" s="700"/>
      <c r="D3" s="700"/>
      <c r="E3" s="700"/>
      <c r="F3" s="700"/>
      <c r="G3" s="700"/>
    </row>
    <row r="4" spans="1:7" ht="15.6">
      <c r="A4" s="1808" t="s">
        <v>3052</v>
      </c>
      <c r="B4" s="1810"/>
      <c r="C4" s="1810"/>
      <c r="D4" s="1810"/>
      <c r="E4" s="1810"/>
      <c r="F4" s="1810"/>
      <c r="G4" s="1810"/>
    </row>
    <row r="5" spans="1:7" ht="15.6">
      <c r="A5" s="863"/>
      <c r="B5" s="834"/>
      <c r="C5" s="834"/>
      <c r="D5" s="834"/>
      <c r="E5" s="834"/>
      <c r="F5" s="834"/>
      <c r="G5" s="834"/>
    </row>
    <row r="6" spans="1:7" ht="15.6">
      <c r="A6" s="979"/>
      <c r="B6" s="979"/>
      <c r="C6" s="979"/>
      <c r="D6" s="642"/>
      <c r="E6" s="642"/>
      <c r="F6" s="1097" t="s">
        <v>81</v>
      </c>
      <c r="G6" s="1097" t="s">
        <v>82</v>
      </c>
    </row>
    <row r="7" spans="1:7" ht="15.6">
      <c r="A7" s="979"/>
      <c r="B7" s="482" t="s">
        <v>3053</v>
      </c>
      <c r="C7" s="580"/>
      <c r="D7" s="482"/>
      <c r="E7" s="482"/>
      <c r="F7" s="1108">
        <f>F37+F19</f>
        <v>0</v>
      </c>
      <c r="G7" s="1108">
        <f>G37+G19</f>
        <v>0</v>
      </c>
    </row>
    <row r="8" spans="1:7" ht="15.6">
      <c r="A8" s="979"/>
      <c r="B8" s="979" t="s">
        <v>1807</v>
      </c>
      <c r="C8" s="979"/>
      <c r="D8" s="642"/>
      <c r="E8" s="642"/>
      <c r="F8" s="642"/>
      <c r="G8" s="1108">
        <v>0</v>
      </c>
    </row>
    <row r="9" spans="1:7" ht="15.6">
      <c r="A9" s="979"/>
      <c r="B9" s="979"/>
      <c r="C9" s="979"/>
      <c r="D9" s="642"/>
      <c r="E9" s="642"/>
      <c r="F9" s="642"/>
      <c r="G9" s="1098"/>
    </row>
    <row r="10" spans="1:7" ht="15.6">
      <c r="A10" s="979"/>
      <c r="B10" s="979"/>
      <c r="C10" s="979"/>
      <c r="D10" s="642"/>
      <c r="E10" s="642"/>
      <c r="F10" s="642"/>
      <c r="G10" s="1099"/>
    </row>
    <row r="11" spans="1:7" ht="15.6">
      <c r="A11" s="979"/>
      <c r="B11" s="979"/>
      <c r="C11" s="979" t="s">
        <v>80</v>
      </c>
      <c r="D11" s="642"/>
      <c r="E11" s="642"/>
      <c r="F11" s="642"/>
      <c r="G11" s="1100">
        <f>SUM(G7:G10)</f>
        <v>0</v>
      </c>
    </row>
    <row r="12" spans="1:7" ht="15.6">
      <c r="A12" s="979"/>
      <c r="B12" s="979"/>
      <c r="C12" s="979"/>
      <c r="D12" s="642"/>
      <c r="E12" s="642"/>
      <c r="F12" s="642"/>
      <c r="G12" s="702" t="s">
        <v>431</v>
      </c>
    </row>
    <row r="13" spans="1:7" ht="15.6">
      <c r="A13" s="1808" t="s">
        <v>3054</v>
      </c>
      <c r="B13" s="1809"/>
      <c r="C13" s="1809"/>
      <c r="D13" s="1809"/>
      <c r="E13" s="1809"/>
      <c r="F13" s="1809"/>
      <c r="G13" s="1809"/>
    </row>
    <row r="14" spans="1:7" ht="15.6">
      <c r="A14" s="642"/>
      <c r="B14" s="642"/>
      <c r="C14" s="730"/>
      <c r="D14" s="730"/>
      <c r="E14" s="642"/>
      <c r="F14" s="642"/>
      <c r="G14" s="702"/>
    </row>
    <row r="15" spans="1:7" ht="15.6">
      <c r="A15" s="862"/>
      <c r="B15" s="734" t="s">
        <v>494</v>
      </c>
      <c r="C15" s="726" t="s">
        <v>1165</v>
      </c>
      <c r="D15" s="862"/>
      <c r="E15" s="642"/>
      <c r="F15" s="1097" t="s">
        <v>81</v>
      </c>
      <c r="G15" s="1097" t="s">
        <v>82</v>
      </c>
    </row>
    <row r="16" spans="1:7" ht="15.6">
      <c r="A16" s="862"/>
      <c r="B16" s="1109">
        <v>1</v>
      </c>
      <c r="C16" s="1119" t="s">
        <v>385</v>
      </c>
      <c r="D16" s="1120" t="s">
        <v>476</v>
      </c>
      <c r="E16" s="482"/>
      <c r="F16" s="1121">
        <v>0</v>
      </c>
      <c r="G16" s="1108">
        <v>0</v>
      </c>
    </row>
    <row r="17" spans="1:7" ht="15.6">
      <c r="A17" s="862"/>
      <c r="B17" s="1109">
        <f>B16+1</f>
        <v>2</v>
      </c>
      <c r="C17" s="1119" t="s">
        <v>385</v>
      </c>
      <c r="D17" s="580"/>
      <c r="E17" s="482"/>
      <c r="F17" s="1108">
        <v>0</v>
      </c>
      <c r="G17" s="1108">
        <v>0</v>
      </c>
    </row>
    <row r="18" spans="1:7" ht="15.6">
      <c r="A18" s="862"/>
      <c r="B18" s="1109">
        <f>B17+1</f>
        <v>3</v>
      </c>
      <c r="C18" s="482" t="s">
        <v>468</v>
      </c>
      <c r="D18" s="580"/>
      <c r="E18" s="482"/>
      <c r="F18" s="576">
        <f>SUM(F16:F17,F17:F17)</f>
        <v>0</v>
      </c>
      <c r="G18" s="576">
        <f>SUM(G16:G17,G17:G17)</f>
        <v>0</v>
      </c>
    </row>
    <row r="19" spans="1:7" ht="15.6">
      <c r="A19" s="862"/>
      <c r="B19" s="1109">
        <f>B18+1</f>
        <v>4</v>
      </c>
      <c r="C19" s="482" t="s">
        <v>79</v>
      </c>
      <c r="D19" s="580"/>
      <c r="E19" s="482"/>
      <c r="F19" s="576">
        <v>0</v>
      </c>
      <c r="G19" s="576">
        <v>0</v>
      </c>
    </row>
    <row r="20" spans="1:7" ht="16.2" thickBot="1">
      <c r="A20" s="862"/>
      <c r="B20" s="1109">
        <f>B19+1</f>
        <v>5</v>
      </c>
      <c r="C20" s="730" t="s">
        <v>1277</v>
      </c>
      <c r="D20" s="862"/>
      <c r="E20" s="642"/>
      <c r="F20" s="1102">
        <f>+F18-F19</f>
        <v>0</v>
      </c>
      <c r="G20" s="1103">
        <f>+G18-G19</f>
        <v>0</v>
      </c>
    </row>
    <row r="21" spans="1:7" ht="16.2" thickTop="1">
      <c r="A21" s="862"/>
      <c r="B21" s="1101"/>
      <c r="C21" s="642"/>
      <c r="D21" s="862"/>
      <c r="E21" s="642"/>
      <c r="F21" s="1104"/>
      <c r="G21" s="1104"/>
    </row>
    <row r="22" spans="1:7" ht="15.6">
      <c r="A22" s="862"/>
      <c r="B22" s="1101"/>
      <c r="C22" s="862"/>
      <c r="D22" s="862"/>
      <c r="E22" s="642"/>
      <c r="F22" s="987"/>
      <c r="G22" s="987"/>
    </row>
    <row r="23" spans="1:7" ht="15.6">
      <c r="A23" s="862"/>
      <c r="B23" s="1101"/>
      <c r="C23" s="862"/>
      <c r="D23" s="862"/>
      <c r="E23" s="642"/>
      <c r="F23" s="862"/>
      <c r="G23" s="862"/>
    </row>
    <row r="24" spans="1:7" ht="15.6">
      <c r="A24" s="862"/>
      <c r="B24" s="1101"/>
      <c r="C24" s="862"/>
      <c r="D24" s="862"/>
      <c r="E24" s="642"/>
      <c r="F24" s="862"/>
      <c r="G24" s="862"/>
    </row>
    <row r="25" spans="1:7">
      <c r="A25" s="862"/>
      <c r="B25" s="1101"/>
      <c r="C25" s="862"/>
      <c r="D25" s="862"/>
      <c r="E25" s="862"/>
      <c r="F25" s="862"/>
      <c r="G25" s="862"/>
    </row>
    <row r="26" spans="1:7">
      <c r="A26" s="862"/>
      <c r="B26" s="1101"/>
      <c r="C26" s="862"/>
      <c r="D26" s="862"/>
      <c r="E26" s="862"/>
      <c r="F26" s="862"/>
      <c r="G26" s="862"/>
    </row>
    <row r="27" spans="1:7">
      <c r="A27" s="862"/>
      <c r="B27" s="1101"/>
      <c r="C27" s="862"/>
      <c r="D27" s="862"/>
      <c r="E27" s="862"/>
      <c r="F27" s="862"/>
      <c r="G27" s="862"/>
    </row>
    <row r="28" spans="1:7" ht="20.399999999999999">
      <c r="A28" s="1767" t="s">
        <v>1452</v>
      </c>
      <c r="B28" s="1767"/>
      <c r="C28" s="1713"/>
      <c r="D28" s="1713"/>
      <c r="E28" s="1713"/>
      <c r="F28" s="1713"/>
      <c r="G28" s="1713"/>
    </row>
    <row r="29" spans="1:7" ht="15.75" customHeight="1">
      <c r="A29" s="1811" t="str">
        <f>A2</f>
        <v>For Contract Year Beginning June 1, 2024, Based on 2023 Data</v>
      </c>
      <c r="B29" s="1718"/>
      <c r="C29" s="1718"/>
      <c r="D29" s="1718"/>
      <c r="E29" s="1718"/>
      <c r="F29" s="1718"/>
      <c r="G29" s="1718"/>
    </row>
    <row r="30" spans="1:7" ht="15.75" customHeight="1">
      <c r="A30" s="1105"/>
      <c r="B30" s="1101"/>
      <c r="C30" s="1101"/>
      <c r="D30" s="1101"/>
      <c r="E30" s="1101"/>
      <c r="F30" s="1101"/>
      <c r="G30" s="1101"/>
    </row>
    <row r="31" spans="1:7" ht="15.6">
      <c r="A31" s="1808" t="s">
        <v>3051</v>
      </c>
      <c r="B31" s="1809"/>
      <c r="C31" s="1809"/>
      <c r="D31" s="1809"/>
      <c r="E31" s="1809"/>
      <c r="F31" s="1809"/>
      <c r="G31" s="1809"/>
    </row>
    <row r="32" spans="1:7" ht="15.6">
      <c r="A32" s="862"/>
      <c r="B32" s="862"/>
      <c r="C32" s="642"/>
      <c r="D32" s="862"/>
      <c r="E32" s="642"/>
      <c r="F32" s="730"/>
      <c r="G32" s="1106"/>
    </row>
    <row r="33" spans="1:7" ht="15.6">
      <c r="A33" s="862"/>
      <c r="B33" s="734" t="s">
        <v>494</v>
      </c>
      <c r="C33" s="726" t="s">
        <v>1165</v>
      </c>
      <c r="D33" s="862"/>
      <c r="E33" s="642"/>
      <c r="F33" s="1097" t="s">
        <v>81</v>
      </c>
      <c r="G33" s="1097" t="s">
        <v>82</v>
      </c>
    </row>
    <row r="34" spans="1:7" ht="15.6">
      <c r="A34" s="862"/>
      <c r="B34" s="1109">
        <v>1</v>
      </c>
      <c r="C34" s="482"/>
      <c r="D34" s="580"/>
      <c r="E34" s="482"/>
      <c r="F34" s="576"/>
      <c r="G34" s="576"/>
    </row>
    <row r="35" spans="1:7" ht="15.6">
      <c r="A35" s="862"/>
      <c r="B35" s="1109">
        <f>B34+1</f>
        <v>2</v>
      </c>
      <c r="C35" s="482"/>
      <c r="D35" s="580"/>
      <c r="E35" s="482"/>
      <c r="F35" s="576"/>
      <c r="G35" s="576"/>
    </row>
    <row r="36" spans="1:7" ht="15.6">
      <c r="A36" s="862"/>
      <c r="B36" s="1109">
        <f>B35+1</f>
        <v>3</v>
      </c>
      <c r="C36" s="482" t="s">
        <v>468</v>
      </c>
      <c r="D36" s="580"/>
      <c r="E36" s="482"/>
      <c r="F36" s="576">
        <f>SUM(F34:F35,F34:F34)</f>
        <v>0</v>
      </c>
      <c r="G36" s="576">
        <f>SUM(G34:G35,G34:G34)</f>
        <v>0</v>
      </c>
    </row>
    <row r="37" spans="1:7" ht="15.6">
      <c r="A37" s="862"/>
      <c r="B37" s="1109">
        <f>B36+1</f>
        <v>4</v>
      </c>
      <c r="C37" s="482" t="s">
        <v>79</v>
      </c>
      <c r="D37" s="580"/>
      <c r="E37" s="482"/>
      <c r="F37" s="576">
        <v>0</v>
      </c>
      <c r="G37" s="576">
        <v>0</v>
      </c>
    </row>
    <row r="38" spans="1:7" ht="16.2" thickBot="1">
      <c r="A38" s="862"/>
      <c r="B38" s="1109">
        <f>B37+1</f>
        <v>5</v>
      </c>
      <c r="C38" s="730" t="s">
        <v>1277</v>
      </c>
      <c r="D38" s="862"/>
      <c r="E38" s="642"/>
      <c r="F38" s="1107">
        <f>+F36-F37</f>
        <v>0</v>
      </c>
      <c r="G38" s="1107">
        <f>+G36-G37</f>
        <v>0</v>
      </c>
    </row>
    <row r="39" spans="1:7" ht="13.8" thickTop="1">
      <c r="A39" s="862"/>
      <c r="B39" s="1101"/>
      <c r="C39" s="862"/>
      <c r="D39" s="862"/>
      <c r="E39" s="862"/>
      <c r="F39" s="862"/>
      <c r="G39" s="862"/>
    </row>
    <row r="40" spans="1:7">
      <c r="A40" s="862"/>
      <c r="B40" s="1101"/>
      <c r="C40" s="862"/>
      <c r="D40" s="862"/>
      <c r="E40" s="862"/>
      <c r="F40" s="862"/>
      <c r="G40" s="862"/>
    </row>
    <row r="41" spans="1:7">
      <c r="A41" s="862"/>
      <c r="B41" s="1101"/>
      <c r="C41" s="862"/>
      <c r="D41" s="862"/>
      <c r="E41" s="862"/>
      <c r="F41" s="862"/>
      <c r="G41" s="862"/>
    </row>
    <row r="42" spans="1:7" ht="15.6">
      <c r="A42" s="979"/>
      <c r="B42" s="979"/>
      <c r="C42" s="979"/>
      <c r="D42" s="642"/>
      <c r="E42" s="642"/>
      <c r="F42" s="642"/>
      <c r="G42" s="702"/>
    </row>
    <row r="43" spans="1:7" ht="15.6">
      <c r="A43" s="938" t="s">
        <v>1571</v>
      </c>
      <c r="B43" s="979"/>
      <c r="C43" s="979"/>
      <c r="D43" s="642"/>
      <c r="E43" s="642"/>
      <c r="F43" s="642"/>
      <c r="G43" s="702"/>
    </row>
    <row r="44" spans="1:7" ht="15.6">
      <c r="A44" s="642" t="s">
        <v>792</v>
      </c>
      <c r="B44" s="979"/>
      <c r="C44" s="979"/>
      <c r="D44" s="642"/>
      <c r="E44" s="642"/>
      <c r="F44" s="642"/>
      <c r="G44" s="702"/>
    </row>
    <row r="45" spans="1:7" ht="15.6">
      <c r="A45" s="862"/>
      <c r="B45" s="949"/>
      <c r="C45" s="862"/>
      <c r="D45" s="642"/>
      <c r="E45" s="920" t="s">
        <v>1166</v>
      </c>
      <c r="F45" s="920" t="s">
        <v>679</v>
      </c>
      <c r="G45" s="862"/>
    </row>
    <row r="46" spans="1:7" ht="15.6">
      <c r="A46" s="1622" t="s">
        <v>3546</v>
      </c>
      <c r="B46" s="1618"/>
      <c r="C46" s="1618"/>
      <c r="D46" s="1618"/>
      <c r="E46" s="1680">
        <f>3360404</f>
        <v>3360404</v>
      </c>
      <c r="F46" s="1680">
        <f>94196916</f>
        <v>94196916</v>
      </c>
      <c r="G46" s="862" t="s">
        <v>382</v>
      </c>
    </row>
    <row r="47" spans="1:7" ht="15.6">
      <c r="A47" s="1622" t="s">
        <v>3547</v>
      </c>
      <c r="B47" s="1618"/>
      <c r="C47" s="1618"/>
      <c r="D47" s="1618"/>
      <c r="E47" s="1681">
        <f>31992</f>
        <v>31992</v>
      </c>
      <c r="F47" s="1681">
        <f>1184663</f>
        <v>1184663</v>
      </c>
      <c r="G47" s="862"/>
    </row>
    <row r="48" spans="1:7" ht="15.6">
      <c r="A48" s="1622" t="s">
        <v>3548</v>
      </c>
      <c r="B48" s="1618"/>
      <c r="C48" s="1618"/>
      <c r="D48" s="1618"/>
      <c r="E48" s="1680">
        <f>2111473</f>
        <v>2111473</v>
      </c>
      <c r="F48" s="1680">
        <f>14356843</f>
        <v>14356843</v>
      </c>
      <c r="G48" s="862" t="s">
        <v>382</v>
      </c>
    </row>
    <row r="49" spans="1:7" ht="15.6">
      <c r="A49" s="1622" t="s">
        <v>3549</v>
      </c>
      <c r="B49" s="1618"/>
      <c r="C49" s="1618"/>
      <c r="D49" s="1618"/>
      <c r="E49" s="1681">
        <f>6901</f>
        <v>6901</v>
      </c>
      <c r="F49" s="1681">
        <f>592904</f>
        <v>592904</v>
      </c>
      <c r="G49" s="862"/>
    </row>
    <row r="50" spans="1:7" ht="15.6">
      <c r="A50" s="642" t="s">
        <v>733</v>
      </c>
      <c r="B50" s="862"/>
      <c r="C50" s="862"/>
      <c r="D50" s="862"/>
      <c r="E50" s="862"/>
      <c r="F50" s="862"/>
      <c r="G50" s="862"/>
    </row>
    <row r="51" spans="1:7">
      <c r="A51" s="960"/>
      <c r="B51" s="960"/>
      <c r="C51" s="960"/>
      <c r="D51" s="960"/>
      <c r="E51" s="960"/>
      <c r="F51" s="960"/>
      <c r="G51" s="960"/>
    </row>
    <row r="52" spans="1:7" ht="15.6">
      <c r="A52" s="642"/>
      <c r="B52" s="960"/>
      <c r="C52" s="960"/>
      <c r="D52" s="960"/>
      <c r="E52" s="960"/>
      <c r="F52" s="960"/>
      <c r="G52" s="960"/>
    </row>
  </sheetData>
  <mergeCells count="7">
    <mergeCell ref="A1:G1"/>
    <mergeCell ref="A13:G13"/>
    <mergeCell ref="A4:G4"/>
    <mergeCell ref="A31:G31"/>
    <mergeCell ref="A28:G28"/>
    <mergeCell ref="A2:G2"/>
    <mergeCell ref="A29:G29"/>
  </mergeCells>
  <phoneticPr fontId="0" type="noConversion"/>
  <printOptions horizontalCentered="1"/>
  <pageMargins left="0.75" right="0.75" top="1.42" bottom="1" header="1" footer="0.5"/>
  <pageSetup scale="70" fitToHeight="0" orientation="portrait" r:id="rId1"/>
  <headerFooter alignWithMargins="0">
    <oddHeader>&amp;C&amp;"Times New Roman,Bold"&amp;16ATTACHMENT D, Page &amp;P of &amp;N
EVERGY</oddHeader>
    <oddFooter>&amp;R&amp;1#&amp;"Calibri"&amp;10&amp;KA80000Internal Use Only</oddFooter>
  </headerFooter>
  <rowBreaks count="1" manualBreakCount="1">
    <brk id="27" max="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pageSetUpPr fitToPage="1"/>
  </sheetPr>
  <dimension ref="A1:G36"/>
  <sheetViews>
    <sheetView view="pageBreakPreview" zoomScale="90" zoomScaleNormal="100" zoomScaleSheetLayoutView="90" workbookViewId="0">
      <selection sqref="A1:F1"/>
    </sheetView>
  </sheetViews>
  <sheetFormatPr defaultRowHeight="13.2"/>
  <cols>
    <col min="1" max="6" width="18.6640625" customWidth="1"/>
    <col min="7" max="7" width="9.109375" hidden="1" customWidth="1"/>
  </cols>
  <sheetData>
    <row r="1" spans="1:6" ht="20.399999999999999">
      <c r="A1" s="1767" t="s">
        <v>1453</v>
      </c>
      <c r="B1" s="1713"/>
      <c r="C1" s="1713"/>
      <c r="D1" s="1713"/>
      <c r="E1" s="1713"/>
      <c r="F1" s="1713"/>
    </row>
    <row r="2" spans="1:6" ht="19.2">
      <c r="A2" s="1768" t="str">
        <f>' Net Monthly Bill'!A2:B2</f>
        <v>For Contract Year Beginning June 1, 2024, Based on 2023 Data</v>
      </c>
      <c r="B2" s="1725"/>
      <c r="C2" s="1725"/>
      <c r="D2" s="1725"/>
      <c r="E2" s="1725"/>
      <c r="F2" s="1725"/>
    </row>
    <row r="3" spans="1:6" ht="15.6">
      <c r="A3" s="1769"/>
      <c r="B3" s="1787"/>
      <c r="C3" s="1787"/>
      <c r="D3" s="1787"/>
      <c r="E3" s="1787"/>
      <c r="F3" s="1787"/>
    </row>
    <row r="4" spans="1:6" ht="15.6">
      <c r="A4" s="1110"/>
      <c r="B4" s="979"/>
      <c r="C4" s="704"/>
      <c r="D4" s="704"/>
      <c r="E4" s="702" t="s">
        <v>680</v>
      </c>
      <c r="F4" s="1111"/>
    </row>
    <row r="5" spans="1:6" ht="15.6">
      <c r="A5" s="1112"/>
      <c r="B5" s="1113"/>
      <c r="C5" s="919"/>
      <c r="D5" s="919"/>
      <c r="E5" s="702" t="s">
        <v>678</v>
      </c>
      <c r="F5" s="1111"/>
    </row>
    <row r="6" spans="1:6" ht="15.6">
      <c r="A6" s="1112"/>
      <c r="B6" s="1114" t="s">
        <v>694</v>
      </c>
      <c r="C6" s="919"/>
      <c r="D6" s="919"/>
      <c r="E6" s="687" t="s">
        <v>1415</v>
      </c>
      <c r="F6" s="1115"/>
    </row>
    <row r="7" spans="1:6" ht="15.6">
      <c r="A7" s="1112"/>
      <c r="B7" s="1112"/>
      <c r="C7" s="1111"/>
      <c r="D7" s="1111"/>
      <c r="E7" s="1111"/>
      <c r="F7" s="1115"/>
    </row>
    <row r="8" spans="1:6" ht="15.6">
      <c r="A8" s="1112"/>
      <c r="B8" s="1112"/>
      <c r="C8" s="1111"/>
      <c r="D8" s="1111"/>
      <c r="E8" s="1111"/>
      <c r="F8" s="704"/>
    </row>
    <row r="9" spans="1:6" ht="15.6">
      <c r="A9" s="1116"/>
      <c r="B9" s="932">
        <v>566004</v>
      </c>
      <c r="C9" s="1118"/>
      <c r="D9" s="1118"/>
      <c r="E9" s="1527">
        <v>0</v>
      </c>
      <c r="F9" s="1118" t="s">
        <v>1203</v>
      </c>
    </row>
    <row r="10" spans="1:6" ht="15.6">
      <c r="A10" s="1116"/>
      <c r="B10" s="1117"/>
      <c r="C10" s="1118"/>
      <c r="D10" s="1118"/>
      <c r="E10" s="1118"/>
      <c r="F10" s="1118"/>
    </row>
    <row r="11" spans="1:6" ht="15.6">
      <c r="A11" s="1116"/>
      <c r="B11" s="1117"/>
      <c r="C11" s="1118"/>
      <c r="D11" s="1118"/>
      <c r="E11" s="1118"/>
      <c r="F11" s="1118"/>
    </row>
    <row r="12" spans="1:6" ht="15.6">
      <c r="A12" s="704"/>
      <c r="B12" s="642"/>
      <c r="C12" s="642"/>
      <c r="D12" s="642"/>
      <c r="E12" s="642"/>
      <c r="F12" s="642"/>
    </row>
    <row r="13" spans="1:6" ht="15.6">
      <c r="A13" s="1808" t="s">
        <v>681</v>
      </c>
      <c r="B13" s="1808"/>
      <c r="C13" s="1808"/>
      <c r="D13" s="1808"/>
      <c r="E13" s="1808"/>
      <c r="F13" s="1808"/>
    </row>
    <row r="14" spans="1:6" ht="15.6">
      <c r="A14" s="642"/>
      <c r="B14" s="642"/>
      <c r="C14" s="642"/>
      <c r="D14" s="642"/>
      <c r="E14" s="642"/>
      <c r="F14" s="642"/>
    </row>
    <row r="15" spans="1:6" ht="15.6">
      <c r="A15" s="642" t="s">
        <v>3099</v>
      </c>
      <c r="B15" s="642"/>
      <c r="C15" s="642"/>
      <c r="D15" s="642"/>
      <c r="E15" s="642"/>
      <c r="F15" s="642"/>
    </row>
    <row r="16" spans="1:6" ht="15.6">
      <c r="A16" s="642" t="s">
        <v>3055</v>
      </c>
      <c r="B16" s="642"/>
      <c r="C16" s="642"/>
      <c r="D16" s="642"/>
      <c r="E16" s="642"/>
      <c r="F16" s="642"/>
    </row>
    <row r="17" spans="1:6" ht="15.6">
      <c r="A17" s="2"/>
      <c r="B17" s="2"/>
      <c r="C17" s="2"/>
      <c r="D17" s="2"/>
      <c r="E17" s="2"/>
      <c r="F17" s="2"/>
    </row>
    <row r="18" spans="1:6" ht="15.6">
      <c r="A18" s="2"/>
      <c r="B18" s="2"/>
      <c r="C18" s="2"/>
      <c r="D18" s="2"/>
      <c r="E18" s="2"/>
      <c r="F18" s="2"/>
    </row>
    <row r="19" spans="1:6" ht="15.6">
      <c r="A19" s="2"/>
      <c r="B19" s="2"/>
      <c r="C19" s="2"/>
      <c r="D19" s="2"/>
      <c r="E19" s="2"/>
      <c r="F19" s="2"/>
    </row>
    <row r="20" spans="1:6" ht="15.6">
      <c r="A20" s="2"/>
      <c r="B20" s="2"/>
      <c r="C20" s="2"/>
      <c r="D20" s="2"/>
      <c r="E20" s="2"/>
      <c r="F20" s="2"/>
    </row>
    <row r="21" spans="1:6" ht="15.6">
      <c r="A21" s="2"/>
      <c r="B21" s="2"/>
      <c r="C21" s="2"/>
      <c r="D21" s="2"/>
      <c r="E21" s="2"/>
      <c r="F21" s="2"/>
    </row>
    <row r="22" spans="1:6" ht="15.6">
      <c r="A22" s="2"/>
      <c r="B22" s="2"/>
      <c r="C22" s="2"/>
      <c r="D22" s="2"/>
      <c r="E22" s="2"/>
      <c r="F22" s="2"/>
    </row>
    <row r="23" spans="1:6" ht="15.6">
      <c r="A23" s="2"/>
      <c r="B23" s="2"/>
      <c r="C23" s="2"/>
      <c r="D23" s="2"/>
      <c r="E23" s="2"/>
      <c r="F23" s="2"/>
    </row>
    <row r="24" spans="1:6" ht="15.6">
      <c r="A24" s="2"/>
      <c r="B24" s="2"/>
      <c r="C24" s="2"/>
      <c r="D24" s="2"/>
      <c r="E24" s="2"/>
      <c r="F24" s="2"/>
    </row>
    <row r="25" spans="1:6" ht="15.6">
      <c r="A25" s="2"/>
      <c r="B25" s="2"/>
      <c r="C25" s="2"/>
      <c r="D25" s="2"/>
      <c r="E25" s="2"/>
      <c r="F25" s="2"/>
    </row>
    <row r="26" spans="1:6" ht="15.6">
      <c r="A26" s="2"/>
      <c r="B26" s="2"/>
      <c r="C26" s="2"/>
      <c r="D26" s="2"/>
      <c r="E26" s="2"/>
      <c r="F26" s="2"/>
    </row>
    <row r="27" spans="1:6" ht="15.6">
      <c r="A27" s="2"/>
      <c r="B27" s="2"/>
      <c r="C27" s="2"/>
      <c r="D27" s="2"/>
      <c r="E27" s="2"/>
      <c r="F27" s="2"/>
    </row>
    <row r="28" spans="1:6" ht="15.6">
      <c r="A28" s="2"/>
      <c r="B28" s="2"/>
      <c r="C28" s="2"/>
      <c r="D28" s="2"/>
      <c r="E28" s="2"/>
      <c r="F28" s="2"/>
    </row>
    <row r="29" spans="1:6" ht="15.6">
      <c r="A29" s="2"/>
      <c r="B29" s="2"/>
      <c r="C29" s="2"/>
      <c r="D29" s="2"/>
      <c r="E29" s="2"/>
      <c r="F29" s="2"/>
    </row>
    <row r="30" spans="1:6" ht="15.6">
      <c r="A30" s="2"/>
      <c r="B30" s="2"/>
      <c r="C30" s="2"/>
      <c r="D30" s="2"/>
      <c r="E30" s="2"/>
      <c r="F30" s="2"/>
    </row>
    <row r="31" spans="1:6" ht="15.6">
      <c r="A31" s="2"/>
      <c r="B31" s="2"/>
      <c r="C31" s="2"/>
      <c r="D31" s="2"/>
      <c r="E31" s="2"/>
      <c r="F31" s="2"/>
    </row>
    <row r="32" spans="1:6" ht="15.6">
      <c r="A32" s="2"/>
      <c r="B32" s="2"/>
      <c r="C32" s="2"/>
      <c r="D32" s="2"/>
      <c r="E32" s="2"/>
      <c r="F32" s="2"/>
    </row>
    <row r="33" spans="1:6" ht="15.6">
      <c r="A33" s="2"/>
      <c r="B33" s="2"/>
      <c r="C33" s="2"/>
      <c r="D33" s="2"/>
      <c r="E33" s="2"/>
      <c r="F33" s="2"/>
    </row>
    <row r="34" spans="1:6" ht="15.6">
      <c r="A34" s="2"/>
      <c r="B34" s="2"/>
      <c r="C34" s="2"/>
      <c r="D34" s="2"/>
      <c r="E34" s="2"/>
      <c r="F34" s="2"/>
    </row>
    <row r="35" spans="1:6" ht="15.6">
      <c r="A35" s="2"/>
      <c r="B35" s="2"/>
      <c r="C35" s="2"/>
      <c r="D35" s="2"/>
      <c r="E35" s="2"/>
      <c r="F35" s="2"/>
    </row>
    <row r="36" spans="1:6" ht="15.6">
      <c r="A36" s="2"/>
      <c r="B36" s="2"/>
      <c r="C36" s="2"/>
      <c r="D36" s="2"/>
      <c r="E36" s="2"/>
      <c r="F36" s="2"/>
    </row>
  </sheetData>
  <sheetProtection sheet="1" objects="1" scenarios="1"/>
  <mergeCells count="4">
    <mergeCell ref="A3:F3"/>
    <mergeCell ref="A13:F13"/>
    <mergeCell ref="A2:F2"/>
    <mergeCell ref="A1:F1"/>
  </mergeCells>
  <phoneticPr fontId="0" type="noConversion"/>
  <pageMargins left="0.75" right="0.75" top="1.45" bottom="1" header="1" footer="0.5"/>
  <pageSetup scale="81" orientation="portrait" r:id="rId1"/>
  <headerFooter alignWithMargins="0">
    <oddHeader>&amp;C&amp;"Times New Roman,Bold"&amp;16ATTACHMENT D, Page &amp;P of &amp;N
EVERGY</oddHeader>
    <oddFooter>&amp;R&amp;1#&amp;"Calibri"&amp;10&amp;KA80000Internal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B22"/>
  <sheetViews>
    <sheetView view="pageBreakPreview" zoomScaleNormal="100" zoomScaleSheetLayoutView="100" workbookViewId="0">
      <selection sqref="A1:B1"/>
    </sheetView>
  </sheetViews>
  <sheetFormatPr defaultColWidth="9.109375" defaultRowHeight="15.6"/>
  <cols>
    <col min="1" max="1" width="6.6640625" style="2" customWidth="1"/>
    <col min="2" max="2" width="83.6640625" style="2" customWidth="1"/>
    <col min="3" max="16384" width="9.109375" style="2"/>
  </cols>
  <sheetData>
    <row r="1" spans="1:2" ht="17.399999999999999">
      <c r="A1" s="1696" t="s">
        <v>739</v>
      </c>
      <c r="B1" s="1697"/>
    </row>
    <row r="2" spans="1:2" ht="16.8">
      <c r="A2" s="1698" t="s">
        <v>3545</v>
      </c>
      <c r="B2" s="1699"/>
    </row>
    <row r="4" spans="1:2">
      <c r="A4" s="2" t="s">
        <v>740</v>
      </c>
    </row>
    <row r="6" spans="1:2">
      <c r="A6" s="401" t="s">
        <v>2258</v>
      </c>
      <c r="B6" s="151" t="s">
        <v>2259</v>
      </c>
    </row>
    <row r="7" spans="1:2">
      <c r="A7" s="121"/>
      <c r="B7" s="120"/>
    </row>
    <row r="8" spans="1:2">
      <c r="A8" s="401" t="s">
        <v>2260</v>
      </c>
      <c r="B8" s="151" t="s">
        <v>2261</v>
      </c>
    </row>
    <row r="9" spans="1:2">
      <c r="A9" s="121"/>
    </row>
    <row r="10" spans="1:2">
      <c r="A10" s="401" t="s">
        <v>2262</v>
      </c>
      <c r="B10" s="163" t="s">
        <v>2294</v>
      </c>
    </row>
    <row r="11" spans="1:2">
      <c r="B11" s="163"/>
    </row>
    <row r="12" spans="1:2" ht="31.2">
      <c r="A12" s="401" t="s">
        <v>2263</v>
      </c>
      <c r="B12" s="431" t="s">
        <v>2882</v>
      </c>
    </row>
    <row r="14" spans="1:2" ht="31.2">
      <c r="A14" s="401" t="s">
        <v>2264</v>
      </c>
      <c r="B14" s="399" t="s">
        <v>2266</v>
      </c>
    </row>
    <row r="16" spans="1:2" ht="46.8">
      <c r="A16" s="401" t="s">
        <v>2265</v>
      </c>
      <c r="B16" s="151" t="s">
        <v>2884</v>
      </c>
    </row>
    <row r="18" spans="2:2" ht="101.4" customHeight="1">
      <c r="B18" s="373" t="s">
        <v>1465</v>
      </c>
    </row>
    <row r="20" spans="2:2" ht="31.2">
      <c r="B20" s="151" t="s">
        <v>104</v>
      </c>
    </row>
    <row r="22" spans="2:2" ht="31.2">
      <c r="B22" s="151" t="s">
        <v>105</v>
      </c>
    </row>
  </sheetData>
  <sheetProtection sheet="1" objects="1" scenarios="1"/>
  <mergeCells count="2">
    <mergeCell ref="A1:B1"/>
    <mergeCell ref="A2:B2"/>
  </mergeCells>
  <phoneticPr fontId="26" type="noConversion"/>
  <printOptions horizontalCentered="1"/>
  <pageMargins left="0.75" right="0.75" top="1.5" bottom="1" header="1" footer="0.5"/>
  <pageSetup orientation="portrait" r:id="rId1"/>
  <headerFooter alignWithMargins="0">
    <oddHeader>&amp;C&amp;"Times New Roman,Bold"&amp;14ATTACHMENT D, Page &amp;P of &amp;N
EVERGY</oddHeader>
    <oddFooter>&amp;R&amp;1#&amp;"Calibri"&amp;10&amp;KA80000Internal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D18"/>
  <sheetViews>
    <sheetView view="pageBreakPreview" zoomScale="90" zoomScaleNormal="100" zoomScaleSheetLayoutView="90" workbookViewId="0">
      <selection sqref="A1:D1"/>
    </sheetView>
  </sheetViews>
  <sheetFormatPr defaultColWidth="9.109375" defaultRowHeight="15.6"/>
  <cols>
    <col min="1" max="1" width="6.6640625" style="2" customWidth="1"/>
    <col min="2" max="2" width="4.6640625" style="2" customWidth="1"/>
    <col min="3" max="3" width="10.6640625" style="2" customWidth="1"/>
    <col min="4" max="4" width="72.44140625" style="2" customWidth="1"/>
    <col min="5" max="16384" width="9.109375" style="2"/>
  </cols>
  <sheetData>
    <row r="1" spans="1:4" ht="17.399999999999999">
      <c r="A1" s="1696" t="str">
        <f>' Net Monthly Bill'!A1:B1</f>
        <v>ITEM 1 - MONTHLY BILLING AND ENERGY CHARGE</v>
      </c>
      <c r="B1" s="1696"/>
      <c r="C1" s="1696"/>
      <c r="D1" s="1696"/>
    </row>
    <row r="2" spans="1:4" ht="16.8">
      <c r="A2" s="1700" t="str">
        <f>' Net Monthly Bill'!A2:B2</f>
        <v>For Contract Year Beginning June 1, 2024, Based on 2023 Data</v>
      </c>
      <c r="B2" s="1700"/>
      <c r="C2" s="1700"/>
      <c r="D2" s="1700"/>
    </row>
    <row r="4" spans="1:4">
      <c r="A4" s="2" t="s">
        <v>745</v>
      </c>
    </row>
    <row r="5" spans="1:4" ht="7.5" customHeight="1"/>
    <row r="6" spans="1:4">
      <c r="C6" s="2" t="s">
        <v>95</v>
      </c>
    </row>
    <row r="7" spans="1:4">
      <c r="D7" s="120" t="s">
        <v>96</v>
      </c>
    </row>
    <row r="8" spans="1:4" ht="7.5" customHeight="1"/>
    <row r="9" spans="1:4">
      <c r="B9" s="2" t="s">
        <v>106</v>
      </c>
    </row>
    <row r="10" spans="1:4" ht="7.5" customHeight="1"/>
    <row r="11" spans="1:4" ht="31.2">
      <c r="C11" s="121" t="s">
        <v>527</v>
      </c>
      <c r="D11" s="151" t="s">
        <v>550</v>
      </c>
    </row>
    <row r="12" spans="1:4" ht="7.5" customHeight="1">
      <c r="C12" s="121"/>
    </row>
    <row r="13" spans="1:4" ht="147" customHeight="1">
      <c r="C13" s="121" t="s">
        <v>528</v>
      </c>
      <c r="D13" s="373" t="s">
        <v>2883</v>
      </c>
    </row>
    <row r="14" spans="1:4" ht="7.5" customHeight="1">
      <c r="C14" s="121"/>
    </row>
    <row r="15" spans="1:4" ht="313.95" customHeight="1">
      <c r="C15" s="121" t="s">
        <v>529</v>
      </c>
      <c r="D15" s="428" t="s">
        <v>2322</v>
      </c>
    </row>
    <row r="16" spans="1:4" ht="7.5" customHeight="1">
      <c r="C16" s="121"/>
    </row>
    <row r="17" spans="3:4" ht="282" customHeight="1">
      <c r="C17" s="121" t="s">
        <v>530</v>
      </c>
      <c r="D17" s="373" t="s">
        <v>2885</v>
      </c>
    </row>
    <row r="18" spans="3:4">
      <c r="C18" s="121"/>
    </row>
  </sheetData>
  <sheetProtection sheet="1"/>
  <mergeCells count="2">
    <mergeCell ref="A1:D1"/>
    <mergeCell ref="A2:D2"/>
  </mergeCells>
  <phoneticPr fontId="26" type="noConversion"/>
  <printOptions horizontalCentered="1"/>
  <pageMargins left="0.75" right="0.75" top="1.5" bottom="1" header="1" footer="0.5"/>
  <pageSetup scale="70" orientation="portrait" r:id="rId1"/>
  <headerFooter alignWithMargins="0">
    <oddHeader>&amp;C&amp;"Times New Roman,Bold"&amp;14ATTACHMENT D, Page &amp;P of &amp;N
EVERGY</oddHeader>
    <oddFooter>&amp;R&amp;1#&amp;"Calibri"&amp;10&amp;KA80000Internal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D15"/>
  <sheetViews>
    <sheetView view="pageBreakPreview" zoomScaleNormal="100" zoomScaleSheetLayoutView="100" workbookViewId="0">
      <selection sqref="A1:D1"/>
    </sheetView>
  </sheetViews>
  <sheetFormatPr defaultColWidth="9.109375" defaultRowHeight="15.6"/>
  <cols>
    <col min="1" max="1" width="6.6640625" style="2" customWidth="1"/>
    <col min="2" max="2" width="4.6640625" style="2" customWidth="1"/>
    <col min="3" max="3" width="10.6640625" style="2" customWidth="1"/>
    <col min="4" max="4" width="65.6640625" style="2" customWidth="1"/>
    <col min="5" max="5" width="9.109375" style="2" customWidth="1"/>
    <col min="6" max="6" width="6.44140625" style="2" customWidth="1"/>
    <col min="7" max="16384" width="9.109375" style="2"/>
  </cols>
  <sheetData>
    <row r="1" spans="1:4" ht="17.399999999999999">
      <c r="A1" s="1696" t="str">
        <f>' Net Monthly Bill'!A1:B1</f>
        <v>ITEM 1 - MONTHLY BILLING AND ENERGY CHARGE</v>
      </c>
      <c r="B1" s="1696"/>
      <c r="C1" s="1697"/>
      <c r="D1" s="1697"/>
    </row>
    <row r="2" spans="1:4" ht="16.8">
      <c r="A2" s="1700" t="str">
        <f>' Net Monthly Bill'!A2:B2</f>
        <v>For Contract Year Beginning June 1, 2024, Based on 2023 Data</v>
      </c>
      <c r="B2" s="1700"/>
      <c r="C2" s="1701"/>
      <c r="D2" s="1701"/>
    </row>
    <row r="3" spans="1:4" ht="7.5" customHeight="1"/>
    <row r="4" spans="1:4" ht="31.2">
      <c r="C4" s="121" t="s">
        <v>91</v>
      </c>
      <c r="D4" s="235" t="s">
        <v>87</v>
      </c>
    </row>
    <row r="5" spans="1:4" ht="7.5" customHeight="1">
      <c r="C5" s="121"/>
    </row>
    <row r="6" spans="1:4" ht="46.8">
      <c r="C6" s="121" t="s">
        <v>90</v>
      </c>
      <c r="D6" s="151" t="s">
        <v>191</v>
      </c>
    </row>
    <row r="7" spans="1:4" ht="7.5" customHeight="1">
      <c r="C7" s="121"/>
    </row>
    <row r="8" spans="1:4" ht="78">
      <c r="C8" s="121" t="s">
        <v>89</v>
      </c>
      <c r="D8" s="235" t="s">
        <v>2886</v>
      </c>
    </row>
    <row r="9" spans="1:4" ht="7.5" customHeight="1">
      <c r="C9" s="121"/>
      <c r="D9" s="235"/>
    </row>
    <row r="10" spans="1:4">
      <c r="C10" s="121"/>
      <c r="D10" s="235" t="s">
        <v>434</v>
      </c>
    </row>
    <row r="11" spans="1:4" ht="7.5" customHeight="1">
      <c r="C11" s="121"/>
      <c r="D11" s="236"/>
    </row>
    <row r="12" spans="1:4" ht="66" customHeight="1">
      <c r="C12" s="121"/>
      <c r="D12" s="122" t="s">
        <v>325</v>
      </c>
    </row>
    <row r="13" spans="1:4" ht="7.5" customHeight="1">
      <c r="C13" s="121"/>
    </row>
    <row r="14" spans="1:4" ht="409.5" customHeight="1">
      <c r="C14" s="121" t="s">
        <v>88</v>
      </c>
      <c r="D14" s="373" t="s">
        <v>2887</v>
      </c>
    </row>
    <row r="15" spans="1:4" ht="65.25" customHeight="1">
      <c r="D15" s="373"/>
    </row>
  </sheetData>
  <sheetProtection sheet="1"/>
  <mergeCells count="2">
    <mergeCell ref="A1:D1"/>
    <mergeCell ref="A2:D2"/>
  </mergeCells>
  <phoneticPr fontId="26" type="noConversion"/>
  <printOptions horizontalCentered="1"/>
  <pageMargins left="0.75" right="0.75" top="1.47" bottom="1" header="1" footer="0.5"/>
  <pageSetup scale="90" orientation="portrait" r:id="rId1"/>
  <headerFooter alignWithMargins="0">
    <oddHeader>&amp;C&amp;"Times New Roman,Bold"&amp;14ATTACHMENT D, Page &amp;P of &amp;N
EVERGY</oddHeader>
    <oddFooter>&amp;R&amp;1#&amp;"Calibri"&amp;10&amp;KA80000Internal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E20"/>
  <sheetViews>
    <sheetView view="pageBreakPreview" zoomScaleNormal="100" zoomScaleSheetLayoutView="100" workbookViewId="0">
      <selection sqref="A1:B1"/>
    </sheetView>
  </sheetViews>
  <sheetFormatPr defaultColWidth="9.109375" defaultRowHeight="15.6"/>
  <cols>
    <col min="1" max="1" width="6.6640625" style="2" customWidth="1"/>
    <col min="2" max="2" width="80.6640625" style="2" customWidth="1"/>
    <col min="3" max="16384" width="9.109375" style="2"/>
  </cols>
  <sheetData>
    <row r="1" spans="1:2" ht="17.399999999999999">
      <c r="A1" s="1696" t="str">
        <f>' Net Monthly Bill'!A1:B1</f>
        <v>ITEM 1 - MONTHLY BILLING AND ENERGY CHARGE</v>
      </c>
      <c r="B1" s="1697"/>
    </row>
    <row r="2" spans="1:2" ht="16.8">
      <c r="A2" s="1700" t="str">
        <f>' Net Monthly Bill'!A2:B2</f>
        <v>For Contract Year Beginning June 1, 2024, Based on 2023 Data</v>
      </c>
      <c r="B2" s="1701"/>
    </row>
    <row r="3" spans="1:2" ht="15.75" customHeight="1">
      <c r="A3" s="120"/>
      <c r="B3" s="120"/>
    </row>
    <row r="4" spans="1:2" ht="15.75" customHeight="1">
      <c r="A4" s="120"/>
    </row>
    <row r="5" spans="1:2" ht="15.75" customHeight="1">
      <c r="A5" s="120"/>
    </row>
    <row r="6" spans="1:2" ht="15.75" customHeight="1">
      <c r="A6" s="120"/>
    </row>
    <row r="7" spans="1:2" ht="7.5" customHeight="1">
      <c r="A7" s="120"/>
      <c r="B7" s="120"/>
    </row>
    <row r="8" spans="1:2" ht="15.75" customHeight="1">
      <c r="A8" s="16"/>
      <c r="B8" s="4" t="s">
        <v>86</v>
      </c>
    </row>
    <row r="9" spans="1:2" ht="7.5" customHeight="1"/>
    <row r="10" spans="1:2" ht="178.95" customHeight="1">
      <c r="B10" s="122" t="s">
        <v>2889</v>
      </c>
    </row>
    <row r="11" spans="1:2" ht="142.94999999999999" customHeight="1">
      <c r="B11" s="122" t="s">
        <v>326</v>
      </c>
    </row>
    <row r="13" spans="1:2">
      <c r="A13" s="2" t="s">
        <v>746</v>
      </c>
    </row>
    <row r="15" spans="1:2" ht="62.4">
      <c r="B15" s="151" t="s">
        <v>2888</v>
      </c>
    </row>
    <row r="16" spans="1:2" ht="7.5" customHeight="1"/>
    <row r="17" spans="1:5">
      <c r="A17" s="4"/>
      <c r="B17" s="4" t="s">
        <v>433</v>
      </c>
      <c r="E17" s="15"/>
    </row>
    <row r="18" spans="1:5">
      <c r="A18" s="110"/>
      <c r="B18" s="480" t="s">
        <v>1258</v>
      </c>
      <c r="E18" s="110"/>
    </row>
    <row r="19" spans="1:5">
      <c r="A19" s="110"/>
      <c r="B19" s="480" t="s">
        <v>1259</v>
      </c>
      <c r="E19" s="110"/>
    </row>
    <row r="20" spans="1:5">
      <c r="A20" s="110"/>
      <c r="B20" s="480" t="s">
        <v>271</v>
      </c>
      <c r="E20" s="110"/>
    </row>
  </sheetData>
  <sheetProtection sheet="1"/>
  <mergeCells count="2">
    <mergeCell ref="A1:B1"/>
    <mergeCell ref="A2:B2"/>
  </mergeCells>
  <phoneticPr fontId="26" type="noConversion"/>
  <printOptions horizontalCentered="1"/>
  <pageMargins left="0.75" right="0.75" top="1.47" bottom="1" header="1" footer="0.5"/>
  <pageSetup orientation="portrait" r:id="rId1"/>
  <headerFooter alignWithMargins="0">
    <oddHeader>&amp;C&amp;"Times New Roman,Bold"&amp;14ATTACHMENT D, Page &amp;P of &amp;N
EVERGY</oddHeader>
    <oddFooter>&amp;R&amp;1#&amp;"Calibri"&amp;10&amp;KA80000Internal Use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I66"/>
  <sheetViews>
    <sheetView view="pageBreakPreview" zoomScaleNormal="100" zoomScaleSheetLayoutView="100" workbookViewId="0">
      <selection activeCell="F15" sqref="F15"/>
    </sheetView>
  </sheetViews>
  <sheetFormatPr defaultColWidth="9.109375" defaultRowHeight="13.2"/>
  <cols>
    <col min="1" max="1" width="3.6640625" style="19" customWidth="1"/>
    <col min="2" max="5" width="17.6640625" style="19" customWidth="1"/>
    <col min="6" max="6" width="16.6640625" style="19" customWidth="1"/>
    <col min="7" max="7" width="3.6640625" style="19" customWidth="1"/>
    <col min="8" max="8" width="17" style="19" customWidth="1"/>
    <col min="9" max="9" width="13.33203125" style="19" customWidth="1"/>
    <col min="10" max="10" width="100.33203125" style="19" customWidth="1"/>
    <col min="11" max="16384" width="9.109375" style="19"/>
  </cols>
  <sheetData>
    <row r="1" spans="1:9" ht="17.399999999999999">
      <c r="A1" s="1702" t="s">
        <v>747</v>
      </c>
      <c r="B1" s="1703"/>
      <c r="C1" s="1703"/>
      <c r="D1" s="1703"/>
      <c r="E1" s="1703"/>
      <c r="F1" s="1703"/>
      <c r="G1" s="1703"/>
    </row>
    <row r="2" spans="1:9" ht="16.8">
      <c r="A2" s="1707" t="str">
        <f>' Net Monthly Bill'!A2:B2</f>
        <v>For Contract Year Beginning June 1, 2024, Based on 2023 Data</v>
      </c>
      <c r="B2" s="1708"/>
      <c r="C2" s="1708"/>
      <c r="D2" s="1708"/>
      <c r="E2" s="1708"/>
      <c r="F2" s="1708"/>
      <c r="G2" s="1708"/>
    </row>
    <row r="3" spans="1:9" ht="15.75" customHeight="1">
      <c r="A3" s="642"/>
      <c r="B3" s="642"/>
      <c r="C3" s="642"/>
      <c r="D3" s="642"/>
      <c r="E3" s="642"/>
      <c r="F3" s="643"/>
      <c r="G3" s="644"/>
      <c r="H3" s="154"/>
    </row>
    <row r="4" spans="1:9" ht="18.75" customHeight="1">
      <c r="A4" s="642"/>
      <c r="B4" s="1704" t="s">
        <v>20</v>
      </c>
      <c r="C4" s="1705"/>
      <c r="D4" s="1705"/>
      <c r="E4" s="1705"/>
      <c r="F4" s="1706"/>
      <c r="G4" s="644"/>
      <c r="H4" s="154"/>
    </row>
    <row r="5" spans="1:9" ht="18.75" customHeight="1">
      <c r="A5" s="642"/>
      <c r="B5" s="645" t="s">
        <v>293</v>
      </c>
      <c r="C5" s="646"/>
      <c r="D5" s="646"/>
      <c r="E5" s="646"/>
      <c r="F5" s="647">
        <f>'Item 3, Rate Base'!F9*'Item 6, Wghted Cost of Cap.'!F8</f>
        <v>275863513.3766374</v>
      </c>
      <c r="G5" s="644"/>
      <c r="H5" s="154"/>
      <c r="I5" s="126"/>
    </row>
    <row r="6" spans="1:9" ht="18.75" customHeight="1">
      <c r="A6" s="642"/>
      <c r="B6" s="645" t="s">
        <v>426</v>
      </c>
      <c r="C6" s="648"/>
      <c r="D6" s="648"/>
      <c r="E6" s="649"/>
      <c r="F6" s="650">
        <f>ROUND(+'Item 4, Demand Rel. Exp.'!F10,2)</f>
        <v>270231786.92000002</v>
      </c>
      <c r="G6" s="644"/>
      <c r="H6" s="154"/>
    </row>
    <row r="7" spans="1:9" ht="18.75" customHeight="1">
      <c r="A7" s="642"/>
      <c r="B7" s="645" t="s">
        <v>427</v>
      </c>
      <c r="C7" s="648"/>
      <c r="D7" s="648"/>
      <c r="E7" s="649"/>
      <c r="F7" s="650">
        <f>'Item 4, Demand Rel. Exp.'!F12</f>
        <v>295861039.96594065</v>
      </c>
      <c r="G7" s="644"/>
      <c r="H7" s="154"/>
    </row>
    <row r="8" spans="1:9" ht="18.75" customHeight="1">
      <c r="A8" s="642"/>
      <c r="B8" s="645" t="s">
        <v>428</v>
      </c>
      <c r="C8" s="648"/>
      <c r="D8" s="648"/>
      <c r="E8" s="649"/>
      <c r="F8" s="650">
        <f>'Item 4, Demand Rel. Exp.'!F14</f>
        <v>113602536.42916669</v>
      </c>
      <c r="G8" s="644"/>
      <c r="H8" s="154"/>
    </row>
    <row r="9" spans="1:9" ht="18.75" customHeight="1">
      <c r="A9" s="642"/>
      <c r="B9" s="645" t="s">
        <v>429</v>
      </c>
      <c r="C9" s="648"/>
      <c r="D9" s="648"/>
      <c r="E9" s="649"/>
      <c r="F9" s="650">
        <f>'Item 4, Demand Rel. Exp.'!F16</f>
        <v>18213041.678899035</v>
      </c>
      <c r="G9" s="644"/>
      <c r="H9" s="154"/>
      <c r="I9" s="126"/>
    </row>
    <row r="10" spans="1:9" ht="18.75" customHeight="1">
      <c r="A10" s="642"/>
      <c r="B10" s="645" t="s">
        <v>663</v>
      </c>
      <c r="C10" s="651"/>
      <c r="D10" s="651"/>
      <c r="E10" s="649"/>
      <c r="F10" s="650">
        <f>SUM(F5:F9)</f>
        <v>973771918.37064373</v>
      </c>
      <c r="G10" s="644"/>
      <c r="H10" s="184"/>
      <c r="I10" s="126"/>
    </row>
    <row r="11" spans="1:9" ht="18.75" customHeight="1">
      <c r="A11" s="642"/>
      <c r="B11" s="645" t="s">
        <v>888</v>
      </c>
      <c r="C11" s="651"/>
      <c r="D11" s="651"/>
      <c r="E11" s="649"/>
      <c r="F11" s="650">
        <f>'Wrksht. D, Rev Cre, Divsr &amp; Eng'!G18</f>
        <v>93668537</v>
      </c>
      <c r="G11" s="644"/>
      <c r="H11" s="154"/>
      <c r="I11" s="126"/>
    </row>
    <row r="12" spans="1:9" ht="18.75" customHeight="1">
      <c r="A12" s="642"/>
      <c r="B12" s="652" t="s">
        <v>2339</v>
      </c>
      <c r="C12" s="653"/>
      <c r="D12" s="653"/>
      <c r="E12" s="649"/>
      <c r="F12" s="650">
        <f>'Wrksht J, Refunds &amp; Surchar'!I46</f>
        <v>1342903.668830744</v>
      </c>
      <c r="G12" s="644"/>
      <c r="H12" s="154"/>
      <c r="I12" s="126"/>
    </row>
    <row r="13" spans="1:9" ht="18.75" customHeight="1">
      <c r="A13" s="642"/>
      <c r="B13" s="645" t="s">
        <v>2338</v>
      </c>
      <c r="C13" s="651"/>
      <c r="D13" s="651"/>
      <c r="E13" s="649"/>
      <c r="F13" s="650">
        <f>F10-F11+F12</f>
        <v>881446285.03947449</v>
      </c>
      <c r="G13" s="644"/>
      <c r="H13" s="154"/>
      <c r="I13" s="126"/>
    </row>
    <row r="14" spans="1:9" ht="18.75" customHeight="1">
      <c r="A14" s="642"/>
      <c r="B14" s="645" t="s">
        <v>432</v>
      </c>
      <c r="C14" s="648"/>
      <c r="D14" s="648"/>
      <c r="E14" s="649"/>
      <c r="F14" s="654">
        <f>'Wrksht. D, Rev Cre, Divsr &amp; Eng'!E45</f>
        <v>3452.0094829625</v>
      </c>
      <c r="G14" s="644"/>
      <c r="H14" s="154"/>
    </row>
    <row r="15" spans="1:9" ht="18.75" customHeight="1">
      <c r="A15" s="642"/>
      <c r="B15" s="645" t="s">
        <v>664</v>
      </c>
      <c r="C15" s="648"/>
      <c r="D15" s="648"/>
      <c r="E15" s="655"/>
      <c r="F15" s="654">
        <f>F13/F14/12/1000</f>
        <v>21.278579172263768</v>
      </c>
      <c r="G15" s="644"/>
      <c r="H15" s="154"/>
    </row>
    <row r="16" spans="1:9" ht="18.75" customHeight="1">
      <c r="A16" s="642"/>
      <c r="B16" s="645" t="s">
        <v>1903</v>
      </c>
      <c r="C16" s="648"/>
      <c r="D16" s="648"/>
      <c r="E16" s="656"/>
      <c r="F16" s="640">
        <f>'Wrksht. E, Rev. Req. Shortfall'!J27</f>
        <v>21.278579172263772</v>
      </c>
      <c r="G16" s="644"/>
      <c r="H16" s="154"/>
    </row>
    <row r="17" spans="1:8" ht="17.399999999999999">
      <c r="A17" s="642"/>
      <c r="B17" s="657"/>
      <c r="C17" s="657"/>
      <c r="D17" s="657"/>
      <c r="E17" s="658"/>
      <c r="F17" s="659"/>
      <c r="G17" s="644"/>
      <c r="H17" s="154"/>
    </row>
    <row r="18" spans="1:8" ht="66" customHeight="1">
      <c r="A18" s="642"/>
      <c r="B18" s="1711" t="s">
        <v>2481</v>
      </c>
      <c r="C18" s="1712"/>
      <c r="D18" s="1712"/>
      <c r="E18" s="1712"/>
      <c r="F18" s="1712"/>
      <c r="G18" s="644"/>
      <c r="H18" s="154"/>
    </row>
    <row r="19" spans="1:8" ht="24.9" customHeight="1">
      <c r="A19" s="660"/>
      <c r="B19" s="1709" t="s">
        <v>2890</v>
      </c>
      <c r="C19" s="1710"/>
      <c r="D19" s="1710"/>
      <c r="E19" s="1710"/>
      <c r="F19" s="1710"/>
      <c r="G19" s="644"/>
      <c r="H19" s="154"/>
    </row>
    <row r="20" spans="1:8" ht="24.9" customHeight="1">
      <c r="A20" s="642"/>
      <c r="B20" s="1710"/>
      <c r="C20" s="1710"/>
      <c r="D20" s="1710"/>
      <c r="E20" s="1710"/>
      <c r="F20" s="1710"/>
      <c r="G20" s="644"/>
      <c r="H20" s="154"/>
    </row>
    <row r="21" spans="1:8" ht="24.9" customHeight="1">
      <c r="A21" s="661"/>
      <c r="B21" s="1710"/>
      <c r="C21" s="1710"/>
      <c r="D21" s="1710"/>
      <c r="E21" s="1710"/>
      <c r="F21" s="1710"/>
      <c r="G21" s="662"/>
      <c r="H21" s="154"/>
    </row>
    <row r="22" spans="1:8" ht="24.9" customHeight="1">
      <c r="A22" s="661"/>
      <c r="B22" s="1710"/>
      <c r="C22" s="1710"/>
      <c r="D22" s="1710"/>
      <c r="E22" s="1710"/>
      <c r="F22" s="1710"/>
      <c r="G22" s="644"/>
      <c r="H22" s="154"/>
    </row>
    <row r="23" spans="1:8" ht="24.9" customHeight="1">
      <c r="A23" s="661"/>
      <c r="B23" s="1710"/>
      <c r="C23" s="1710"/>
      <c r="D23" s="1710"/>
      <c r="E23" s="1710"/>
      <c r="F23" s="1710"/>
      <c r="G23" s="644"/>
      <c r="H23" s="154"/>
    </row>
    <row r="24" spans="1:8" ht="24.9" customHeight="1">
      <c r="A24" s="663"/>
      <c r="B24" s="1710"/>
      <c r="C24" s="1710"/>
      <c r="D24" s="1710"/>
      <c r="E24" s="1710"/>
      <c r="F24" s="1710"/>
      <c r="G24" s="644"/>
      <c r="H24" s="154"/>
    </row>
    <row r="25" spans="1:8" ht="24.9" customHeight="1">
      <c r="A25" s="663"/>
      <c r="B25" s="1710"/>
      <c r="C25" s="1710"/>
      <c r="D25" s="1710"/>
      <c r="E25" s="1710"/>
      <c r="F25" s="1710"/>
      <c r="G25" s="644"/>
      <c r="H25" s="154"/>
    </row>
    <row r="26" spans="1:8" ht="24.9" customHeight="1">
      <c r="A26" s="663"/>
      <c r="B26" s="1710"/>
      <c r="C26" s="1710"/>
      <c r="D26" s="1710"/>
      <c r="E26" s="1710"/>
      <c r="F26" s="1710"/>
      <c r="G26" s="664"/>
    </row>
    <row r="27" spans="1:8" ht="15">
      <c r="G27" s="3"/>
    </row>
    <row r="28" spans="1:8" ht="15">
      <c r="G28" s="3"/>
    </row>
    <row r="29" spans="1:8" ht="15">
      <c r="G29" s="3"/>
    </row>
    <row r="30" spans="1:8" ht="15">
      <c r="G30" s="3"/>
    </row>
    <row r="31" spans="1:8" ht="15">
      <c r="G31" s="3"/>
    </row>
    <row r="32" spans="1:8" ht="15.6">
      <c r="A32" s="2"/>
      <c r="B32" s="3"/>
      <c r="C32" s="3"/>
      <c r="D32" s="3"/>
      <c r="E32" s="3"/>
      <c r="F32" s="3"/>
      <c r="G32" s="3"/>
    </row>
    <row r="33" spans="1:7" ht="18.600000000000001">
      <c r="A33" s="21"/>
      <c r="C33" s="3"/>
      <c r="D33" s="3"/>
      <c r="E33" s="3"/>
      <c r="F33" s="3"/>
      <c r="G33" s="3"/>
    </row>
    <row r="34" spans="1:7" ht="12.75" customHeight="1">
      <c r="A34" s="2"/>
      <c r="C34" s="3"/>
      <c r="D34" s="3"/>
      <c r="E34" s="3"/>
      <c r="F34" s="3"/>
      <c r="G34" s="3"/>
    </row>
    <row r="35" spans="1:7" ht="12.75" customHeight="1">
      <c r="A35" s="23"/>
      <c r="C35" s="3"/>
      <c r="D35" s="3"/>
      <c r="E35" s="3"/>
      <c r="F35" s="3"/>
      <c r="G35" s="3"/>
    </row>
    <row r="36" spans="1:7" ht="12.75" customHeight="1">
      <c r="C36" s="3"/>
      <c r="D36" s="3"/>
      <c r="E36" s="3"/>
      <c r="F36" s="3"/>
      <c r="G36" s="3"/>
    </row>
    <row r="37" spans="1:7" ht="12.75" customHeight="1">
      <c r="A37" s="2"/>
      <c r="B37" s="3"/>
      <c r="C37" s="3"/>
      <c r="D37" s="3"/>
      <c r="E37" s="3"/>
      <c r="F37" s="3"/>
      <c r="G37" s="3"/>
    </row>
    <row r="38" spans="1:7" ht="12.75" customHeight="1">
      <c r="A38" s="2"/>
      <c r="B38" s="3"/>
      <c r="C38" s="3"/>
      <c r="D38" s="3"/>
      <c r="E38" s="3"/>
      <c r="F38" s="3"/>
      <c r="G38" s="3"/>
    </row>
    <row r="39" spans="1:7" ht="15.75" customHeight="1">
      <c r="A39" s="2"/>
      <c r="B39" s="3"/>
      <c r="C39" s="3"/>
      <c r="D39" s="3"/>
      <c r="E39" s="3"/>
      <c r="F39" s="3"/>
      <c r="G39" s="3"/>
    </row>
    <row r="40" spans="1:7" ht="15.75" customHeight="1">
      <c r="A40" s="2"/>
      <c r="B40" s="3"/>
      <c r="C40" s="3"/>
      <c r="D40" s="3"/>
      <c r="E40" s="3"/>
      <c r="F40" s="3"/>
      <c r="G40" s="3"/>
    </row>
    <row r="41" spans="1:7" ht="15.75" customHeight="1">
      <c r="A41" s="2"/>
      <c r="B41" s="3"/>
      <c r="C41" s="3"/>
      <c r="D41" s="3"/>
      <c r="E41" s="3"/>
      <c r="F41" s="3"/>
      <c r="G41" s="3"/>
    </row>
    <row r="42" spans="1:7" s="125" customFormat="1" ht="12.75" customHeight="1">
      <c r="A42" s="2"/>
      <c r="B42" s="3"/>
      <c r="C42" s="3"/>
      <c r="D42" s="3"/>
      <c r="E42" s="3"/>
      <c r="F42" s="3"/>
      <c r="G42" s="3"/>
    </row>
    <row r="43" spans="1:7" s="125" customFormat="1" ht="12.75" customHeight="1">
      <c r="A43" s="2"/>
      <c r="B43" s="3"/>
      <c r="C43" s="3"/>
      <c r="D43" s="3"/>
      <c r="E43" s="3"/>
      <c r="F43" s="3"/>
      <c r="G43" s="3"/>
    </row>
    <row r="44" spans="1:7" s="125" customFormat="1" ht="12.75" customHeight="1">
      <c r="A44" s="2"/>
      <c r="B44" s="3"/>
      <c r="C44" s="3"/>
      <c r="D44" s="3"/>
      <c r="E44" s="3"/>
      <c r="F44" s="3"/>
      <c r="G44" s="3"/>
    </row>
    <row r="45" spans="1:7" s="125" customFormat="1" ht="12.75" customHeight="1">
      <c r="A45" s="2"/>
      <c r="B45" s="3"/>
      <c r="C45" s="3"/>
      <c r="D45" s="3"/>
      <c r="E45" s="3"/>
      <c r="F45" s="3"/>
      <c r="G45" s="3"/>
    </row>
    <row r="46" spans="1:7" s="125" customFormat="1" ht="15.75" customHeight="1">
      <c r="A46" s="2"/>
      <c r="B46" s="3"/>
      <c r="C46" s="3"/>
      <c r="D46" s="3"/>
      <c r="E46" s="3"/>
      <c r="F46" s="3"/>
      <c r="G46" s="3"/>
    </row>
    <row r="47" spans="1:7" ht="15.75" customHeight="1">
      <c r="A47" s="2"/>
      <c r="B47" s="3"/>
      <c r="C47" s="3"/>
      <c r="D47" s="3"/>
      <c r="E47" s="3"/>
      <c r="F47" s="3"/>
      <c r="G47" s="3"/>
    </row>
    <row r="48" spans="1:7" ht="15.75" customHeight="1">
      <c r="A48" s="2"/>
      <c r="B48" s="3"/>
      <c r="C48" s="3"/>
      <c r="D48" s="3"/>
      <c r="E48" s="3"/>
      <c r="F48" s="3"/>
      <c r="G48" s="3"/>
    </row>
    <row r="49" spans="1:7" ht="15.6">
      <c r="A49" s="2"/>
      <c r="B49" s="3"/>
      <c r="C49" s="3"/>
      <c r="D49" s="3"/>
      <c r="E49" s="3"/>
      <c r="F49" s="3"/>
      <c r="G49" s="3"/>
    </row>
    <row r="50" spans="1:7" ht="15.75" customHeight="1">
      <c r="A50" s="2"/>
      <c r="B50" s="3"/>
      <c r="C50" s="3"/>
      <c r="D50" s="3"/>
      <c r="E50" s="3"/>
      <c r="F50" s="3"/>
      <c r="G50" s="3"/>
    </row>
    <row r="51" spans="1:7" ht="15.75" customHeight="1">
      <c r="A51" s="2"/>
      <c r="B51" s="3"/>
      <c r="C51" s="3"/>
      <c r="D51" s="3"/>
      <c r="E51" s="3"/>
      <c r="F51" s="3"/>
      <c r="G51" s="3"/>
    </row>
    <row r="52" spans="1:7" ht="15.75" customHeight="1">
      <c r="A52" s="3"/>
      <c r="B52" s="3"/>
      <c r="C52" s="3"/>
      <c r="D52" s="3"/>
      <c r="E52" s="3"/>
      <c r="F52" s="3"/>
      <c r="G52" s="3"/>
    </row>
    <row r="53" spans="1:7" ht="15.75" customHeight="1">
      <c r="A53" s="3"/>
      <c r="B53" s="3"/>
      <c r="C53" s="3"/>
      <c r="D53" s="3"/>
      <c r="E53" s="3"/>
      <c r="F53" s="3"/>
      <c r="G53" s="3"/>
    </row>
    <row r="54" spans="1:7" ht="15.75" customHeight="1">
      <c r="A54" s="3"/>
      <c r="B54" s="3"/>
      <c r="C54" s="3"/>
      <c r="D54" s="3"/>
      <c r="E54" s="3"/>
      <c r="F54" s="3"/>
      <c r="G54" s="3"/>
    </row>
    <row r="55" spans="1:7" ht="15.75" customHeight="1">
      <c r="A55" s="3"/>
      <c r="B55" s="3"/>
      <c r="C55" s="3"/>
      <c r="D55" s="3"/>
      <c r="E55" s="3"/>
      <c r="F55" s="3"/>
      <c r="G55" s="3"/>
    </row>
    <row r="56" spans="1:7" ht="15.75" customHeight="1">
      <c r="A56" s="3"/>
      <c r="B56" s="3"/>
      <c r="C56" s="3"/>
      <c r="D56" s="3"/>
      <c r="E56" s="3"/>
      <c r="F56" s="3"/>
      <c r="G56" s="3"/>
    </row>
    <row r="57" spans="1:7" ht="15.75" customHeight="1">
      <c r="A57" s="3"/>
      <c r="B57" s="3"/>
      <c r="C57" s="3"/>
      <c r="D57" s="3"/>
      <c r="E57" s="3"/>
      <c r="F57" s="3"/>
      <c r="G57" s="3"/>
    </row>
    <row r="58" spans="1:7" ht="15.75" customHeight="1">
      <c r="A58" s="3"/>
      <c r="B58" s="3"/>
      <c r="C58" s="152"/>
      <c r="D58" s="20"/>
      <c r="E58" s="20"/>
      <c r="F58" s="20"/>
      <c r="G58" s="3"/>
    </row>
    <row r="59" spans="1:7" ht="15.75" customHeight="1">
      <c r="A59" s="3"/>
      <c r="B59" s="3"/>
      <c r="C59" s="3"/>
      <c r="D59" s="3"/>
      <c r="E59" s="3"/>
      <c r="F59" s="3"/>
      <c r="G59" s="3"/>
    </row>
    <row r="60" spans="1:7" ht="15.75" customHeight="1">
      <c r="A60" s="3"/>
      <c r="B60" s="3"/>
      <c r="C60" s="3"/>
      <c r="D60" s="3"/>
      <c r="E60" s="3"/>
      <c r="F60" s="3"/>
      <c r="G60" s="3"/>
    </row>
    <row r="61" spans="1:7" ht="15.75" customHeight="1">
      <c r="A61" s="3"/>
      <c r="B61" s="3"/>
      <c r="C61" s="3"/>
      <c r="D61" s="3"/>
      <c r="E61" s="3"/>
      <c r="F61" s="3"/>
      <c r="G61" s="3"/>
    </row>
    <row r="62" spans="1:7" ht="15.75" customHeight="1">
      <c r="A62" s="3"/>
      <c r="B62" s="3"/>
      <c r="C62" s="3"/>
      <c r="D62" s="3"/>
      <c r="E62" s="3"/>
      <c r="F62" s="3"/>
      <c r="G62" s="3"/>
    </row>
    <row r="63" spans="1:7" ht="15">
      <c r="A63" s="3"/>
      <c r="B63" s="3"/>
      <c r="C63" s="3"/>
      <c r="D63" s="3"/>
      <c r="E63" s="3"/>
      <c r="F63" s="3"/>
      <c r="G63" s="3"/>
    </row>
    <row r="64" spans="1:7" ht="15">
      <c r="A64" s="3"/>
      <c r="B64" s="3"/>
      <c r="C64" s="3"/>
      <c r="D64" s="3"/>
      <c r="E64" s="3"/>
      <c r="F64" s="3"/>
      <c r="G64" s="3"/>
    </row>
    <row r="65" spans="1:7" ht="15">
      <c r="A65" s="3"/>
      <c r="B65" s="3"/>
      <c r="C65" s="3"/>
      <c r="D65" s="3"/>
      <c r="E65" s="3"/>
      <c r="F65" s="3"/>
      <c r="G65" s="3"/>
    </row>
    <row r="66" spans="1:7" ht="15">
      <c r="A66" s="3"/>
      <c r="B66" s="3"/>
      <c r="C66" s="3"/>
      <c r="D66" s="3"/>
      <c r="E66" s="3"/>
      <c r="F66" s="3"/>
      <c r="G66" s="3"/>
    </row>
  </sheetData>
  <sheetProtection sheet="1" objects="1" scenarios="1"/>
  <mergeCells count="5">
    <mergeCell ref="A1:G1"/>
    <mergeCell ref="B4:F4"/>
    <mergeCell ref="A2:G2"/>
    <mergeCell ref="B19:F26"/>
    <mergeCell ref="B18:F18"/>
  </mergeCells>
  <phoneticPr fontId="0" type="noConversion"/>
  <printOptions horizontalCentered="1"/>
  <pageMargins left="0.75" right="0.75" top="1.4" bottom="1" header="1" footer="0.5"/>
  <pageSetup scale="96" orientation="portrait" r:id="rId1"/>
  <headerFooter alignWithMargins="0">
    <oddHeader>&amp;C&amp;"Times New Roman,Bold"&amp;14ATTACHMENT D, Page &amp;P of &amp;N
EVERGY</oddHeader>
    <oddFooter>&amp;R&amp;1#&amp;"Calibri"&amp;10&amp;KA80000Internal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89"/>
  <sheetViews>
    <sheetView view="pageBreakPreview" zoomScaleNormal="100" zoomScaleSheetLayoutView="100" workbookViewId="0">
      <selection sqref="A1:G1"/>
    </sheetView>
  </sheetViews>
  <sheetFormatPr defaultColWidth="9.109375" defaultRowHeight="13.2"/>
  <cols>
    <col min="1" max="1" width="12.6640625" style="19" customWidth="1"/>
    <col min="2" max="2" width="28.88671875" style="19" customWidth="1"/>
    <col min="3" max="3" width="15.33203125" style="19" customWidth="1"/>
    <col min="4" max="4" width="15.88671875" style="19" customWidth="1"/>
    <col min="5" max="5" width="16.109375" style="19" customWidth="1"/>
    <col min="6" max="6" width="18.33203125" style="19" customWidth="1"/>
    <col min="7" max="7" width="16.109375" style="19" customWidth="1"/>
    <col min="8" max="8" width="9.88671875" style="378" customWidth="1"/>
    <col min="9" max="9" width="8.6640625" style="378" customWidth="1"/>
    <col min="10" max="10" width="10.88671875" style="378" bestFit="1" customWidth="1"/>
    <col min="11" max="12" width="7.6640625" style="378" customWidth="1"/>
    <col min="13" max="13" width="9.6640625" style="378" customWidth="1"/>
    <col min="14" max="14" width="9.109375" style="378" customWidth="1"/>
    <col min="15" max="15" width="10.5546875" style="378" customWidth="1"/>
    <col min="16" max="16" width="9.109375" style="378" customWidth="1"/>
    <col min="17" max="17" width="4.44140625" style="378" customWidth="1"/>
    <col min="18" max="16384" width="9.109375" style="378"/>
  </cols>
  <sheetData>
    <row r="1" spans="1:9" ht="20.399999999999999">
      <c r="A1" s="1713" t="s">
        <v>748</v>
      </c>
      <c r="B1" s="1714"/>
      <c r="C1" s="1714"/>
      <c r="D1" s="1714"/>
      <c r="E1" s="1714"/>
      <c r="F1" s="1714"/>
      <c r="G1" s="1714"/>
    </row>
    <row r="2" spans="1:9" ht="19.2">
      <c r="A2" s="1719" t="str">
        <f>' Net Monthly Bill'!A2:B2</f>
        <v>For Contract Year Beginning June 1, 2024, Based on 2023 Data</v>
      </c>
      <c r="B2" s="1720"/>
      <c r="C2" s="1720"/>
      <c r="D2" s="1720"/>
      <c r="E2" s="1720"/>
      <c r="F2" s="1720"/>
      <c r="G2" s="1720"/>
    </row>
    <row r="3" spans="1:9" ht="18">
      <c r="A3" s="667"/>
      <c r="B3" s="667"/>
      <c r="C3" s="667"/>
      <c r="D3" s="667"/>
      <c r="E3" s="667"/>
      <c r="F3" s="667"/>
      <c r="G3" s="644"/>
    </row>
    <row r="4" spans="1:9" ht="18">
      <c r="A4" s="668"/>
      <c r="B4" s="1721" t="s">
        <v>742</v>
      </c>
      <c r="C4" s="1722"/>
      <c r="D4" s="1722"/>
      <c r="E4" s="1722"/>
      <c r="F4" s="1723"/>
      <c r="G4" s="669"/>
    </row>
    <row r="5" spans="1:9" ht="20.399999999999999">
      <c r="A5" s="668"/>
      <c r="B5" s="670" t="s">
        <v>665</v>
      </c>
      <c r="C5" s="671"/>
      <c r="D5" s="671"/>
      <c r="E5" s="671"/>
      <c r="F5" s="672">
        <f>'Item 3, Rate Base'!G22</f>
        <v>8262209919.4260883</v>
      </c>
      <c r="G5" s="669"/>
    </row>
    <row r="6" spans="1:9" ht="20.399999999999999">
      <c r="A6" s="668"/>
      <c r="B6" s="673" t="s">
        <v>666</v>
      </c>
      <c r="C6" s="674"/>
      <c r="D6" s="674"/>
      <c r="E6" s="674"/>
      <c r="F6" s="675">
        <f>-'Item 3, Rate Base'!G29</f>
        <v>-3391437647.0635309</v>
      </c>
      <c r="G6" s="669"/>
    </row>
    <row r="7" spans="1:9" ht="20.399999999999999">
      <c r="A7" s="668"/>
      <c r="B7" s="673" t="s">
        <v>667</v>
      </c>
      <c r="C7" s="674"/>
      <c r="D7" s="674"/>
      <c r="E7" s="676"/>
      <c r="F7" s="675">
        <f>'Item 3, Rate Base'!G42</f>
        <v>-1318536164.2456288</v>
      </c>
      <c r="G7" s="669"/>
    </row>
    <row r="8" spans="1:9" ht="20.399999999999999">
      <c r="A8" s="668"/>
      <c r="B8" s="673" t="s">
        <v>668</v>
      </c>
      <c r="C8" s="677"/>
      <c r="D8" s="677"/>
      <c r="E8" s="678"/>
      <c r="F8" s="679">
        <f>D61</f>
        <v>310237181.72334039</v>
      </c>
      <c r="G8" s="669"/>
    </row>
    <row r="9" spans="1:9" ht="18">
      <c r="A9" s="668"/>
      <c r="B9" s="673" t="s">
        <v>669</v>
      </c>
      <c r="C9" s="674"/>
      <c r="D9" s="674"/>
      <c r="E9" s="671"/>
      <c r="F9" s="675">
        <f>SUM(F5:F8)</f>
        <v>3862473289.8402691</v>
      </c>
      <c r="G9" s="669"/>
    </row>
    <row r="10" spans="1:9" ht="18">
      <c r="A10" s="667"/>
      <c r="B10" s="680"/>
      <c r="C10" s="681"/>
      <c r="D10" s="681"/>
      <c r="E10" s="681"/>
      <c r="F10" s="681"/>
      <c r="G10" s="682"/>
    </row>
    <row r="11" spans="1:9" ht="15.6">
      <c r="A11" s="642"/>
      <c r="B11" s="683"/>
      <c r="C11" s="683"/>
      <c r="D11" s="683"/>
      <c r="E11" s="683"/>
      <c r="F11" s="684" t="s">
        <v>541</v>
      </c>
      <c r="G11" s="683"/>
    </row>
    <row r="12" spans="1:9" ht="18.600000000000001">
      <c r="A12" s="685" t="s">
        <v>532</v>
      </c>
      <c r="B12" s="685"/>
      <c r="C12" s="683"/>
      <c r="D12" s="686" t="s">
        <v>2892</v>
      </c>
      <c r="E12" s="686" t="s">
        <v>2893</v>
      </c>
      <c r="F12" s="687" t="s">
        <v>1</v>
      </c>
      <c r="G12" s="686" t="s">
        <v>468</v>
      </c>
    </row>
    <row r="13" spans="1:9" ht="15.6">
      <c r="A13" s="683" t="s">
        <v>670</v>
      </c>
      <c r="B13" s="683"/>
      <c r="C13" s="683"/>
      <c r="D13" s="688">
        <f>'Form 1 Inputs'!D35</f>
        <v>4141908960</v>
      </c>
      <c r="E13" s="688">
        <f>'Form 1 Inputs'!E35</f>
        <v>3860161376</v>
      </c>
      <c r="F13" s="689">
        <v>1</v>
      </c>
      <c r="G13" s="688">
        <f t="shared" ref="G13:G21" si="0">(D13+E13)*F13</f>
        <v>8002070336</v>
      </c>
      <c r="I13" s="1332"/>
    </row>
    <row r="14" spans="1:9" ht="15.6">
      <c r="A14" s="683" t="s">
        <v>192</v>
      </c>
      <c r="B14" s="683"/>
      <c r="C14" s="688"/>
      <c r="D14" s="1585">
        <f>-4393065.9-10929182.9-763193.2+261632.4</f>
        <v>-15823809.6</v>
      </c>
      <c r="E14" s="1585">
        <f>-1049867.6-30251509.5-2652673.8+1161384.2</f>
        <v>-32792666.699999999</v>
      </c>
      <c r="F14" s="689">
        <v>1</v>
      </c>
      <c r="G14" s="688">
        <f t="shared" si="0"/>
        <v>-48616476.299999997</v>
      </c>
      <c r="I14" s="1332"/>
    </row>
    <row r="15" spans="1:9" ht="15.6">
      <c r="A15" s="683" t="s">
        <v>671</v>
      </c>
      <c r="B15" s="683"/>
      <c r="C15" s="688"/>
      <c r="D15" s="690">
        <f>'Form 1 Inputs'!D38</f>
        <v>372566777</v>
      </c>
      <c r="E15" s="690">
        <f>'Form 1 Inputs'!E38</f>
        <v>209220741</v>
      </c>
      <c r="F15" s="689">
        <f>'Wrksht. C, Allocation Ratios'!J21</f>
        <v>0.73673230862335481</v>
      </c>
      <c r="G15" s="691">
        <f t="shared" si="0"/>
        <v>428621661.2643916</v>
      </c>
      <c r="I15" s="1332"/>
    </row>
    <row r="16" spans="1:9" ht="15.6">
      <c r="A16" s="683" t="s">
        <v>2224</v>
      </c>
      <c r="B16" s="683"/>
      <c r="C16" s="683"/>
      <c r="D16" s="690">
        <f>'Form 1 Inputs'!D29</f>
        <v>232491127</v>
      </c>
      <c r="E16" s="690">
        <f>'Form 1 Inputs'!E29</f>
        <v>73134767</v>
      </c>
      <c r="F16" s="689">
        <f>F15</f>
        <v>0.73673230862335481</v>
      </c>
      <c r="G16" s="683">
        <f t="shared" si="0"/>
        <v>225164470.46169671</v>
      </c>
    </row>
    <row r="17" spans="1:7" ht="15.6">
      <c r="A17" s="688" t="s">
        <v>2297</v>
      </c>
      <c r="B17" s="688"/>
      <c r="C17" s="688"/>
      <c r="D17" s="688">
        <f>-('Form 1 Inputs'!D30)</f>
        <v>-74085359</v>
      </c>
      <c r="E17" s="688">
        <f>-('Form 1 Inputs'!E30)</f>
        <v>-99116356</v>
      </c>
      <c r="F17" s="692">
        <v>1</v>
      </c>
      <c r="G17" s="688">
        <f t="shared" si="0"/>
        <v>-173201715</v>
      </c>
    </row>
    <row r="18" spans="1:7" ht="15.6">
      <c r="A18" s="688" t="s">
        <v>2299</v>
      </c>
      <c r="B18" s="688"/>
      <c r="C18" s="688"/>
      <c r="D18" s="688">
        <f>-('Form 1 Inputs'!D32)</f>
        <v>0</v>
      </c>
      <c r="E18" s="688">
        <f>-('Form 1 Inputs'!E32)</f>
        <v>-140662510</v>
      </c>
      <c r="F18" s="692">
        <v>1</v>
      </c>
      <c r="G18" s="688">
        <f t="shared" si="0"/>
        <v>-140662510</v>
      </c>
    </row>
    <row r="19" spans="1:7" ht="15.6">
      <c r="A19" s="688" t="s">
        <v>2296</v>
      </c>
      <c r="B19" s="688"/>
      <c r="C19" s="688"/>
      <c r="D19" s="688">
        <f>-('Form 1 Inputs'!D33)</f>
        <v>0</v>
      </c>
      <c r="E19" s="688">
        <f>-('Form 1 Inputs'!E33)</f>
        <v>0</v>
      </c>
      <c r="F19" s="692">
        <v>1</v>
      </c>
      <c r="G19" s="688">
        <f t="shared" si="0"/>
        <v>0</v>
      </c>
    </row>
    <row r="20" spans="1:7" ht="15.6">
      <c r="A20" s="688" t="s">
        <v>2298</v>
      </c>
      <c r="B20" s="688"/>
      <c r="C20" s="688"/>
      <c r="D20" s="688">
        <f>-('Form 1 Inputs'!D34)</f>
        <v>-31165847</v>
      </c>
      <c r="E20" s="688">
        <f>-('Form 1 Inputs'!E34)</f>
        <v>0</v>
      </c>
      <c r="F20" s="692">
        <v>1</v>
      </c>
      <c r="G20" s="688">
        <f t="shared" si="0"/>
        <v>-31165847</v>
      </c>
    </row>
    <row r="21" spans="1:7" ht="15.6">
      <c r="A21" s="688" t="s">
        <v>2300</v>
      </c>
      <c r="B21" s="688"/>
      <c r="C21" s="688"/>
      <c r="D21" s="688">
        <f>-('Form 1 Inputs'!D37)</f>
        <v>0</v>
      </c>
      <c r="E21" s="688">
        <f>-('Form 1 Inputs'!E37)</f>
        <v>0</v>
      </c>
      <c r="F21" s="692">
        <v>1</v>
      </c>
      <c r="G21" s="688">
        <f t="shared" si="0"/>
        <v>0</v>
      </c>
    </row>
    <row r="22" spans="1:7" ht="15.6">
      <c r="A22" s="683" t="s">
        <v>296</v>
      </c>
      <c r="B22" s="683"/>
      <c r="C22" s="683"/>
      <c r="D22" s="683"/>
      <c r="E22" s="683"/>
      <c r="F22" s="683"/>
      <c r="G22" s="650">
        <f>SUM(G13:G21)</f>
        <v>8262209919.4260883</v>
      </c>
    </row>
    <row r="23" spans="1:7" ht="15.6">
      <c r="A23" s="683"/>
      <c r="B23" s="683"/>
      <c r="C23" s="683"/>
      <c r="D23" s="683"/>
      <c r="E23" s="683"/>
      <c r="F23" s="683"/>
      <c r="G23" s="683"/>
    </row>
    <row r="24" spans="1:7" ht="18.600000000000001">
      <c r="A24" s="685" t="s">
        <v>356</v>
      </c>
      <c r="B24" s="685"/>
      <c r="C24" s="683"/>
      <c r="D24" s="693"/>
      <c r="E24" s="693"/>
      <c r="F24" s="693"/>
      <c r="G24" s="693"/>
    </row>
    <row r="25" spans="1:7" ht="15.6">
      <c r="A25" s="688" t="s">
        <v>2319</v>
      </c>
      <c r="B25" s="688"/>
      <c r="C25" s="688"/>
      <c r="D25" s="1585">
        <f>+'Form 1 Inputs'!D40+'Form 1 Inputs'!D41+'Form 1 Inputs'!D42+'Form 1 Inputs'!D43+'Form 1 Inputs'!D44</f>
        <v>1672437937</v>
      </c>
      <c r="E25" s="1585">
        <f>+'Form 1 Inputs'!E40+'Form 1 Inputs'!E41+'Form 1 Inputs'!E42+'Form 1 Inputs'!E43+'Form 1 Inputs'!E44</f>
        <v>1464677004</v>
      </c>
      <c r="F25" s="692">
        <v>1</v>
      </c>
      <c r="G25" s="688">
        <f>(D25+E25)*F25</f>
        <v>3137114941</v>
      </c>
    </row>
    <row r="26" spans="1:7" ht="15.6">
      <c r="A26" s="683" t="s">
        <v>192</v>
      </c>
      <c r="B26" s="683"/>
      <c r="C26" s="688"/>
      <c r="D26" s="1585">
        <v>-3610833.5000000009</v>
      </c>
      <c r="E26" s="1585">
        <v>-11912519.000000002</v>
      </c>
      <c r="F26" s="692">
        <v>1</v>
      </c>
      <c r="G26" s="688">
        <f>(D26+E26)*F26</f>
        <v>-15523352.500000004</v>
      </c>
    </row>
    <row r="27" spans="1:7" ht="15.6">
      <c r="A27" s="683" t="s">
        <v>672</v>
      </c>
      <c r="B27" s="683"/>
      <c r="C27" s="683"/>
      <c r="D27" s="690">
        <f>'Form 1 Inputs'!D46</f>
        <v>148254380</v>
      </c>
      <c r="E27" s="690">
        <f>'Form 1 Inputs'!E46</f>
        <v>95183049</v>
      </c>
      <c r="F27" s="689">
        <f>F15</f>
        <v>0.73673230862335481</v>
      </c>
      <c r="G27" s="683">
        <f>(D27+E27)*F27</f>
        <v>179348219.07250401</v>
      </c>
    </row>
    <row r="28" spans="1:7" ht="15.6">
      <c r="A28" s="683" t="s">
        <v>2905</v>
      </c>
      <c r="B28" s="683"/>
      <c r="C28" s="683"/>
      <c r="D28" s="690">
        <f>-'Wrksht. O, Int. Plt. Amrt. EKC '!H449</f>
        <v>91705877.729999989</v>
      </c>
      <c r="E28" s="690">
        <f>-'Wrksht. P, Int. Plt. Amrt. EKS'!H156</f>
        <v>31130922.59999999</v>
      </c>
      <c r="F28" s="689">
        <f>F15</f>
        <v>0.73673230862335481</v>
      </c>
      <c r="G28" s="683">
        <f>(D28+E28)*F28</f>
        <v>90497839.491026953</v>
      </c>
    </row>
    <row r="29" spans="1:7" ht="15.6">
      <c r="A29" s="683" t="s">
        <v>297</v>
      </c>
      <c r="B29" s="683"/>
      <c r="C29" s="683"/>
      <c r="D29" s="683"/>
      <c r="E29" s="683"/>
      <c r="F29" s="683"/>
      <c r="G29" s="650">
        <f>SUM(G25:G28)</f>
        <v>3391437647.0635309</v>
      </c>
    </row>
    <row r="30" spans="1:7" ht="15.6">
      <c r="A30" s="683"/>
      <c r="B30" s="683"/>
      <c r="C30" s="683"/>
      <c r="D30" s="683"/>
      <c r="E30" s="683"/>
      <c r="F30" s="683"/>
      <c r="G30" s="683"/>
    </row>
    <row r="31" spans="1:7" ht="100.2" customHeight="1">
      <c r="A31" s="1724" t="s">
        <v>2891</v>
      </c>
      <c r="B31" s="1724"/>
      <c r="C31" s="1724"/>
      <c r="D31" s="1724"/>
      <c r="E31" s="1724"/>
      <c r="F31" s="1724"/>
      <c r="G31" s="1724"/>
    </row>
    <row r="32" spans="1:7" ht="15.6">
      <c r="A32" s="683"/>
      <c r="B32" s="683"/>
      <c r="C32" s="683"/>
      <c r="D32" s="683"/>
      <c r="E32" s="683"/>
      <c r="F32" s="683"/>
      <c r="G32" s="683"/>
    </row>
    <row r="33" spans="1:12" ht="18.600000000000001">
      <c r="A33" s="695" t="s">
        <v>533</v>
      </c>
      <c r="B33" s="695"/>
      <c r="C33" s="688"/>
      <c r="D33" s="696" t="s">
        <v>2892</v>
      </c>
      <c r="E33" s="696" t="s">
        <v>2893</v>
      </c>
      <c r="F33" s="696" t="s">
        <v>540</v>
      </c>
      <c r="G33" s="696" t="s">
        <v>468</v>
      </c>
    </row>
    <row r="34" spans="1:12" ht="18.600000000000001">
      <c r="A34" s="688" t="s">
        <v>2900</v>
      </c>
      <c r="B34" s="695"/>
      <c r="C34" s="688"/>
      <c r="D34" s="690">
        <f>'Wrksht. A, Other Rate Base EKC'!$I252</f>
        <v>63341978.350000001</v>
      </c>
      <c r="E34" s="688">
        <f>'Wrksht. B, Other Rate Base EKS'!I405</f>
        <v>40081355.969999999</v>
      </c>
      <c r="F34" s="692">
        <v>1</v>
      </c>
      <c r="G34" s="688">
        <f t="shared" ref="G34:G41" si="1">(D34+E34)*F34</f>
        <v>103423334.31999999</v>
      </c>
      <c r="I34" s="298"/>
    </row>
    <row r="35" spans="1:12" ht="15.6">
      <c r="A35" s="688" t="s">
        <v>3140</v>
      </c>
      <c r="B35" s="688"/>
      <c r="C35" s="688"/>
      <c r="D35" s="697">
        <f>-'Wrksht. O, Int. Plt. Amrt. EKC '!H467</f>
        <v>-1418459.58</v>
      </c>
      <c r="E35" s="688">
        <f>-'Wrksht. P, Int. Plt. Amrt. EKS'!H187</f>
        <v>-265171689.27000001</v>
      </c>
      <c r="F35" s="692">
        <v>1</v>
      </c>
      <c r="G35" s="688">
        <f t="shared" si="1"/>
        <v>-266590148.85000002</v>
      </c>
      <c r="I35" s="298"/>
      <c r="K35" s="379"/>
      <c r="L35" s="376"/>
    </row>
    <row r="36" spans="1:12" ht="15.6">
      <c r="A36" s="1229"/>
      <c r="B36" s="1226"/>
      <c r="C36" s="1226"/>
      <c r="D36" s="697" t="s">
        <v>476</v>
      </c>
      <c r="E36" s="688" t="s">
        <v>476</v>
      </c>
      <c r="F36" s="692" t="s">
        <v>476</v>
      </c>
      <c r="G36" s="688" t="s">
        <v>476</v>
      </c>
      <c r="I36" s="298"/>
      <c r="K36" s="379"/>
      <c r="L36" s="376"/>
    </row>
    <row r="37" spans="1:12" ht="15.6">
      <c r="A37" s="688" t="s">
        <v>2901</v>
      </c>
      <c r="B37" s="688"/>
      <c r="C37" s="688"/>
      <c r="D37" s="688">
        <f>'Wrksht. A, Other Rate Base EKC'!$I362</f>
        <v>23841374.389967248</v>
      </c>
      <c r="E37" s="688">
        <f>'Wrksht. B, Other Rate Base EKS'!I501</f>
        <v>20929202.544933654</v>
      </c>
      <c r="F37" s="692">
        <v>1</v>
      </c>
      <c r="G37" s="688">
        <f t="shared" si="1"/>
        <v>44770576.934900902</v>
      </c>
      <c r="I37" s="298"/>
    </row>
    <row r="38" spans="1:12" ht="15.6">
      <c r="A38" s="688" t="s">
        <v>1080</v>
      </c>
      <c r="B38" s="688"/>
      <c r="C38" s="688"/>
      <c r="D38" s="697">
        <f>-'Wrksht. A, Other Rate Base EKC'!$I379</f>
        <v>-44706588</v>
      </c>
      <c r="E38" s="688">
        <f>-'Wrksht. B, Other Rate Base EKS'!I518</f>
        <v>-18499410</v>
      </c>
      <c r="F38" s="692">
        <v>1</v>
      </c>
      <c r="G38" s="688">
        <f t="shared" si="1"/>
        <v>-63205998</v>
      </c>
      <c r="I38" s="298"/>
      <c r="K38" s="379"/>
      <c r="L38" s="376"/>
    </row>
    <row r="39" spans="1:12" ht="15.6">
      <c r="A39" s="688" t="s">
        <v>2902</v>
      </c>
      <c r="B39" s="688"/>
      <c r="C39" s="688"/>
      <c r="D39" s="697">
        <f>-'Wrksht. A, Other Rate Base EKC'!$I442</f>
        <v>-629600816.53206551</v>
      </c>
      <c r="E39" s="697">
        <f>-'Wrksht. B, Other Rate Base EKS'!I578</f>
        <v>-452149264.03451061</v>
      </c>
      <c r="F39" s="692">
        <v>1</v>
      </c>
      <c r="G39" s="688">
        <f t="shared" si="1"/>
        <v>-1081750080.566576</v>
      </c>
      <c r="I39" s="298"/>
      <c r="K39" s="379"/>
      <c r="L39" s="376"/>
    </row>
    <row r="40" spans="1:12" ht="15.6">
      <c r="A40" s="688" t="s">
        <v>2903</v>
      </c>
      <c r="B40" s="688"/>
      <c r="C40" s="688"/>
      <c r="D40" s="697">
        <f>-'Wrksht. A, Other Rate Base EKC'!$I520</f>
        <v>-1790410.0910031255</v>
      </c>
      <c r="E40" s="697">
        <f>-'Wrksht. B, Other Rate Base EKS'!I648</f>
        <v>-1847197.6620626315</v>
      </c>
      <c r="F40" s="692">
        <v>1</v>
      </c>
      <c r="G40" s="688">
        <f>(D40+E40)*F40</f>
        <v>-3637607.753065757</v>
      </c>
      <c r="I40" s="298"/>
      <c r="K40" s="379"/>
      <c r="L40" s="376"/>
    </row>
    <row r="41" spans="1:12" ht="15.6">
      <c r="A41" s="688" t="s">
        <v>2904</v>
      </c>
      <c r="B41" s="688"/>
      <c r="C41" s="688"/>
      <c r="D41" s="697">
        <f>-'Wrksht. A, Other Rate Base EKC'!I560</f>
        <v>-15078661.018006647</v>
      </c>
      <c r="E41" s="697">
        <f>-'Wrksht. B, Other Rate Base EKS'!I687</f>
        <v>-36467579.31288106</v>
      </c>
      <c r="F41" s="692">
        <v>1</v>
      </c>
      <c r="G41" s="688">
        <f t="shared" si="1"/>
        <v>-51546240.330887705</v>
      </c>
      <c r="I41" s="298"/>
    </row>
    <row r="42" spans="1:12" ht="15.6">
      <c r="A42" s="688" t="s">
        <v>298</v>
      </c>
      <c r="B42" s="688"/>
      <c r="C42" s="688"/>
      <c r="D42" s="697">
        <f>SUM(D34:D41)</f>
        <v>-605411582.48110807</v>
      </c>
      <c r="E42" s="697">
        <f>SUM(E34:E41)</f>
        <v>-713124581.76452076</v>
      </c>
      <c r="F42" s="697"/>
      <c r="G42" s="698">
        <f>SUM(G34:G41)</f>
        <v>-1318536164.2456288</v>
      </c>
    </row>
    <row r="43" spans="1:12" ht="21">
      <c r="A43" s="1715" t="str">
        <f>A1</f>
        <v>ITEM 3 - RATE BASE</v>
      </c>
      <c r="B43" s="1716"/>
      <c r="C43" s="1716"/>
      <c r="D43" s="1716"/>
      <c r="E43" s="1716"/>
      <c r="F43" s="1716"/>
      <c r="G43" s="1716"/>
    </row>
    <row r="44" spans="1:12" ht="18">
      <c r="A44" s="1717" t="str">
        <f>A2</f>
        <v>For Contract Year Beginning June 1, 2024, Based on 2023 Data</v>
      </c>
      <c r="B44" s="1718"/>
      <c r="C44" s="1718"/>
      <c r="D44" s="1718"/>
      <c r="E44" s="1718"/>
      <c r="F44" s="1718"/>
      <c r="G44" s="1718"/>
    </row>
    <row r="45" spans="1:12" ht="15.6">
      <c r="A45" s="683"/>
      <c r="B45" s="683"/>
      <c r="C45" s="683"/>
      <c r="D45" s="701"/>
      <c r="E45" s="701"/>
      <c r="F45" s="701"/>
      <c r="G45" s="701"/>
    </row>
    <row r="46" spans="1:12" ht="18.600000000000001">
      <c r="A46" s="685" t="s">
        <v>357</v>
      </c>
      <c r="B46" s="683"/>
      <c r="C46" s="683"/>
      <c r="D46" s="701"/>
      <c r="E46" s="701"/>
      <c r="F46" s="701"/>
      <c r="G46" s="701"/>
    </row>
    <row r="47" spans="1:12" ht="18.600000000000001">
      <c r="A47" s="685"/>
      <c r="B47" s="663"/>
      <c r="C47" s="702"/>
      <c r="D47" s="663"/>
      <c r="E47" s="703"/>
      <c r="F47" s="663"/>
      <c r="G47" s="702"/>
    </row>
    <row r="48" spans="1:12" ht="15.6">
      <c r="A48" s="704" t="s">
        <v>1021</v>
      </c>
      <c r="B48" s="663"/>
      <c r="C48" s="702"/>
      <c r="D48" s="663"/>
      <c r="E48" s="703"/>
      <c r="F48" s="663"/>
      <c r="G48" s="702"/>
    </row>
    <row r="49" spans="1:7" ht="15.6">
      <c r="A49" s="704" t="s">
        <v>967</v>
      </c>
      <c r="B49" s="663"/>
      <c r="C49" s="705">
        <f>'Item 4, Demand Rel. Exp.'!F10</f>
        <v>270231786.91816616</v>
      </c>
      <c r="D49" s="701"/>
      <c r="E49" s="701"/>
      <c r="F49" s="701"/>
      <c r="G49" s="701"/>
    </row>
    <row r="50" spans="1:7" ht="15.6">
      <c r="A50" s="704" t="s">
        <v>968</v>
      </c>
      <c r="B50" s="663"/>
      <c r="C50" s="705">
        <f>-'Item 4, Demand Rel. Exp.'!G46</f>
        <v>-26819140</v>
      </c>
      <c r="D50" s="701"/>
      <c r="E50" s="701"/>
      <c r="F50" s="701"/>
      <c r="G50" s="701"/>
    </row>
    <row r="51" spans="1:7" ht="15.6">
      <c r="A51" s="704" t="s">
        <v>965</v>
      </c>
      <c r="B51" s="663"/>
      <c r="C51" s="705">
        <f>-SUM('Item 4, Demand Rel. Exp.'!G21:G25)</f>
        <v>36831720</v>
      </c>
      <c r="D51" s="701"/>
      <c r="E51" s="701"/>
      <c r="F51" s="701"/>
      <c r="G51" s="701"/>
    </row>
    <row r="52" spans="1:7" ht="15.6">
      <c r="A52" s="704" t="s">
        <v>966</v>
      </c>
      <c r="B52" s="663"/>
      <c r="C52" s="706">
        <f>-SUM('Item 4, Demand Rel. Exp.'!G27:G31)</f>
        <v>17376550</v>
      </c>
      <c r="D52" s="701"/>
      <c r="E52" s="701"/>
      <c r="F52" s="701"/>
      <c r="G52" s="701"/>
    </row>
    <row r="53" spans="1:7" ht="15.6">
      <c r="A53" s="683"/>
      <c r="B53" s="663"/>
      <c r="C53" s="705">
        <f>SUM(C49:C52)</f>
        <v>297620916.91816616</v>
      </c>
      <c r="D53" s="701"/>
      <c r="E53" s="701"/>
      <c r="F53" s="701"/>
      <c r="G53" s="701"/>
    </row>
    <row r="54" spans="1:7" ht="15.6">
      <c r="A54" s="683"/>
      <c r="B54" s="683"/>
      <c r="C54" s="707" t="s">
        <v>359</v>
      </c>
      <c r="D54" s="701"/>
      <c r="E54" s="701"/>
      <c r="F54" s="701"/>
      <c r="G54" s="701"/>
    </row>
    <row r="55" spans="1:7" ht="15.6">
      <c r="A55" s="704" t="s">
        <v>358</v>
      </c>
      <c r="B55" s="663"/>
      <c r="C55" s="663"/>
      <c r="D55" s="691">
        <f>C53*0.125</f>
        <v>37202614.61477077</v>
      </c>
      <c r="E55" s="704"/>
      <c r="F55" s="663"/>
      <c r="G55" s="701"/>
    </row>
    <row r="56" spans="1:7" ht="15.6">
      <c r="A56" s="704" t="s">
        <v>2894</v>
      </c>
      <c r="B56" s="663"/>
      <c r="C56" s="663"/>
      <c r="D56" s="691">
        <f>G65+G71</f>
        <v>10272550.403917298</v>
      </c>
      <c r="E56" s="704"/>
      <c r="F56" s="663"/>
      <c r="G56" s="701"/>
    </row>
    <row r="57" spans="1:7" ht="15.6">
      <c r="A57" s="704" t="s">
        <v>2895</v>
      </c>
      <c r="B57" s="663"/>
      <c r="C57" s="663"/>
      <c r="D57" s="691">
        <f>G66+G72</f>
        <v>114898330.5</v>
      </c>
      <c r="E57" s="704"/>
      <c r="F57" s="663"/>
      <c r="G57" s="701"/>
    </row>
    <row r="58" spans="1:7" ht="15.6">
      <c r="A58" s="704" t="s">
        <v>2896</v>
      </c>
      <c r="B58" s="663"/>
      <c r="C58" s="663"/>
      <c r="D58" s="691">
        <f>G67+G73</f>
        <v>147573025</v>
      </c>
      <c r="E58" s="704"/>
      <c r="F58" s="663"/>
      <c r="G58" s="701"/>
    </row>
    <row r="59" spans="1:7" ht="15.6">
      <c r="A59" s="704" t="s">
        <v>2897</v>
      </c>
      <c r="B59" s="663"/>
      <c r="C59" s="663"/>
      <c r="D59" s="708">
        <f>G68+G74</f>
        <v>290661.20465232793</v>
      </c>
      <c r="E59" s="704"/>
      <c r="F59" s="663"/>
      <c r="G59" s="701"/>
    </row>
    <row r="60" spans="1:7" ht="9" customHeight="1">
      <c r="A60" s="704"/>
      <c r="B60" s="663"/>
      <c r="C60" s="663"/>
      <c r="D60" s="708"/>
      <c r="E60" s="704"/>
      <c r="F60" s="663"/>
      <c r="G60" s="701"/>
    </row>
    <row r="61" spans="1:7" ht="15.6">
      <c r="A61" s="704" t="s">
        <v>1020</v>
      </c>
      <c r="B61" s="663"/>
      <c r="C61" s="663"/>
      <c r="D61" s="650">
        <f>SUM(D55:D59)</f>
        <v>310237181.72334039</v>
      </c>
      <c r="E61" s="704"/>
      <c r="F61" s="663"/>
      <c r="G61" s="701"/>
    </row>
    <row r="62" spans="1:7" ht="15.6">
      <c r="A62" s="683"/>
      <c r="B62" s="683"/>
      <c r="C62" s="683"/>
      <c r="D62" s="701"/>
      <c r="E62" s="701"/>
      <c r="F62" s="701"/>
      <c r="G62" s="701"/>
    </row>
    <row r="63" spans="1:7" ht="15.6">
      <c r="A63" s="642"/>
      <c r="B63" s="642"/>
      <c r="C63" s="663"/>
      <c r="D63" s="663"/>
      <c r="E63" s="663"/>
      <c r="F63" s="684" t="s">
        <v>1431</v>
      </c>
      <c r="G63" s="642"/>
    </row>
    <row r="64" spans="1:7" ht="15.6">
      <c r="A64" s="709" t="s">
        <v>2898</v>
      </c>
      <c r="B64" s="642"/>
      <c r="C64" s="710" t="s">
        <v>469</v>
      </c>
      <c r="D64" s="710" t="s">
        <v>751</v>
      </c>
      <c r="E64" s="710" t="s">
        <v>752</v>
      </c>
      <c r="F64" s="687" t="s">
        <v>1</v>
      </c>
      <c r="G64" s="687" t="s">
        <v>468</v>
      </c>
    </row>
    <row r="65" spans="1:7" ht="15.6">
      <c r="A65" s="642"/>
      <c r="B65" s="711" t="s">
        <v>360</v>
      </c>
      <c r="C65" s="688">
        <f>'Form 1 Inputs'!D9</f>
        <v>8649919</v>
      </c>
      <c r="D65" s="688">
        <f>'Form 1 Inputs'!D8</f>
        <v>12332017</v>
      </c>
      <c r="E65" s="683">
        <f>(C65+D65)/2</f>
        <v>10490968</v>
      </c>
      <c r="F65" s="712">
        <f>'Wrksht. C, Allocation Ratios'!I7</f>
        <v>0.50821559584268561</v>
      </c>
      <c r="G65" s="683">
        <f>E65*F65</f>
        <v>5331673.5530865481</v>
      </c>
    </row>
    <row r="66" spans="1:7" ht="15.6">
      <c r="A66" s="642"/>
      <c r="B66" s="711" t="s">
        <v>361</v>
      </c>
      <c r="C66" s="688">
        <f>'Form 1 Inputs'!D7</f>
        <v>62307125</v>
      </c>
      <c r="D66" s="688">
        <f>'Form 1 Inputs'!D6</f>
        <v>100963886</v>
      </c>
      <c r="E66" s="683">
        <f>(C66+D66)/2</f>
        <v>81635505.5</v>
      </c>
      <c r="F66" s="713">
        <v>1</v>
      </c>
      <c r="G66" s="683">
        <f>E66*F66</f>
        <v>81635505.5</v>
      </c>
    </row>
    <row r="67" spans="1:7" ht="15.6">
      <c r="A67" s="642"/>
      <c r="B67" s="711" t="s">
        <v>1432</v>
      </c>
      <c r="C67" s="688">
        <f>'Form 1 Inputs'!D49</f>
        <v>54092700</v>
      </c>
      <c r="D67" s="688">
        <f>'Form 1 Inputs'!D50</f>
        <v>83848349</v>
      </c>
      <c r="E67" s="683">
        <f>(C67+D67)/2</f>
        <v>68970524.5</v>
      </c>
      <c r="F67" s="713">
        <v>1</v>
      </c>
      <c r="G67" s="683">
        <f>E67*F67</f>
        <v>68970524.5</v>
      </c>
    </row>
    <row r="68" spans="1:7" ht="15.6">
      <c r="A68" s="642"/>
      <c r="B68" s="711" t="s">
        <v>1433</v>
      </c>
      <c r="C68" s="688">
        <f>'Form 1 Inputs'!D51</f>
        <v>883990</v>
      </c>
      <c r="D68" s="688">
        <f>'Form 1 Inputs'!D52</f>
        <v>2368596</v>
      </c>
      <c r="E68" s="683">
        <f>(C68+D68)/2</f>
        <v>1626293</v>
      </c>
      <c r="F68" s="713">
        <f>F65</f>
        <v>0.50821559584268561</v>
      </c>
      <c r="G68" s="683">
        <f>E68*F68</f>
        <v>826507.46600978868</v>
      </c>
    </row>
    <row r="69" spans="1:7" ht="15.6">
      <c r="A69" s="642"/>
      <c r="B69" s="714"/>
      <c r="C69" s="688"/>
      <c r="D69" s="688"/>
      <c r="E69" s="683"/>
      <c r="F69" s="715"/>
      <c r="G69" s="683"/>
    </row>
    <row r="70" spans="1:7" ht="15.6">
      <c r="A70" s="709" t="s">
        <v>2899</v>
      </c>
      <c r="B70" s="714"/>
      <c r="C70" s="688"/>
      <c r="D70" s="688"/>
      <c r="E70" s="683"/>
      <c r="F70" s="715"/>
      <c r="G70" s="683"/>
    </row>
    <row r="71" spans="1:7" ht="15.6">
      <c r="A71" s="642"/>
      <c r="B71" s="711" t="s">
        <v>360</v>
      </c>
      <c r="C71" s="688">
        <f>'Form 1 Inputs'!E9</f>
        <v>10068825</v>
      </c>
      <c r="D71" s="688">
        <f>'Form 1 Inputs'!E8</f>
        <v>9375194</v>
      </c>
      <c r="E71" s="683">
        <f>(C71+D71)/2</f>
        <v>9722009.5</v>
      </c>
      <c r="F71" s="712">
        <f>F65</f>
        <v>0.50821559584268561</v>
      </c>
      <c r="G71" s="683">
        <f>E71*F71</f>
        <v>4940876.8508307496</v>
      </c>
    </row>
    <row r="72" spans="1:7" ht="15.6">
      <c r="A72" s="642"/>
      <c r="B72" s="711" t="s">
        <v>361</v>
      </c>
      <c r="C72" s="688">
        <f>'Form 1 Inputs'!E7</f>
        <v>29716613</v>
      </c>
      <c r="D72" s="688">
        <f>'Form 1 Inputs'!E6</f>
        <v>36809037</v>
      </c>
      <c r="E72" s="683">
        <f>(C72+D72)/2</f>
        <v>33262825</v>
      </c>
      <c r="F72" s="713">
        <v>1</v>
      </c>
      <c r="G72" s="683">
        <f>E72*F72</f>
        <v>33262825</v>
      </c>
    </row>
    <row r="73" spans="1:7" ht="15.6">
      <c r="A73" s="642"/>
      <c r="B73" s="711" t="s">
        <v>1432</v>
      </c>
      <c r="C73" s="688">
        <f>'Form 1 Inputs'!E49</f>
        <v>55348705</v>
      </c>
      <c r="D73" s="688">
        <f>'Form 1 Inputs'!E50</f>
        <v>101856296</v>
      </c>
      <c r="E73" s="683">
        <f>(C73+D73)/2</f>
        <v>78602500.5</v>
      </c>
      <c r="F73" s="713">
        <v>1</v>
      </c>
      <c r="G73" s="683">
        <f>E73*F73</f>
        <v>78602500.5</v>
      </c>
    </row>
    <row r="74" spans="1:7" ht="15.6">
      <c r="A74" s="642"/>
      <c r="B74" s="711" t="s">
        <v>1433</v>
      </c>
      <c r="C74" s="688">
        <f>'Form 1 Inputs'!E51</f>
        <v>34155</v>
      </c>
      <c r="D74" s="688">
        <f>'Form 1 Inputs'!E52</f>
        <v>-2142891</v>
      </c>
      <c r="E74" s="683">
        <f>(C74+D74)/2</f>
        <v>-1054368</v>
      </c>
      <c r="F74" s="712">
        <f>F65</f>
        <v>0.50821559584268561</v>
      </c>
      <c r="G74" s="683">
        <f>E74*F74</f>
        <v>-535846.26135746075</v>
      </c>
    </row>
    <row r="86" spans="7:7">
      <c r="G86" s="126"/>
    </row>
    <row r="87" spans="7:7">
      <c r="G87" s="126"/>
    </row>
    <row r="89" spans="7:7">
      <c r="G89" s="126"/>
    </row>
  </sheetData>
  <sheetProtection sheet="1" objects="1" scenarios="1"/>
  <mergeCells count="6">
    <mergeCell ref="A1:G1"/>
    <mergeCell ref="A43:G43"/>
    <mergeCell ref="A44:G44"/>
    <mergeCell ref="A2:G2"/>
    <mergeCell ref="B4:F4"/>
    <mergeCell ref="A31:G31"/>
  </mergeCells>
  <phoneticPr fontId="0" type="noConversion"/>
  <printOptions horizontalCentered="1"/>
  <pageMargins left="0.5" right="0.5" top="1.47" bottom="1" header="1.04" footer="0.5"/>
  <pageSetup scale="77" fitToHeight="0" orientation="portrait" r:id="rId1"/>
  <headerFooter alignWithMargins="0">
    <oddHeader>&amp;C&amp;"Times New Roman,Bold"&amp;16ATTACHMENT D, Page &amp;P of &amp;N
EVERGY</oddHeader>
    <oddFooter>&amp;R&amp;1#&amp;"Calibri"&amp;10&amp;KA80000Internal Use Only</oddFooter>
  </headerFooter>
  <rowBreaks count="1" manualBreakCount="1">
    <brk id="42" max="16383" man="1"/>
  </rowBreaks>
</worksheet>
</file>

<file path=docMetadata/LabelInfo.xml><?xml version="1.0" encoding="utf-8"?>
<clbl:labelList xmlns:clbl="http://schemas.microsoft.com/office/2020/mipLabelMetadata">
  <clbl:label id="{d275ac46-98b9-4d64-949f-e82ee8dc823c}" enabled="1" method="Standard" siteId="{9ef58ab0-3510-4d99-8d3e-3c9e02ebab7f}"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43</vt:i4>
      </vt:variant>
    </vt:vector>
  </HeadingPairs>
  <TitlesOfParts>
    <vt:vector size="81" baseType="lpstr">
      <vt:lpstr>Table of Contents</vt:lpstr>
      <vt:lpstr>Form 1 Inputs</vt:lpstr>
      <vt:lpstr>Form 1 Inputs (TransYear)</vt:lpstr>
      <vt:lpstr> Net Monthly Bill</vt:lpstr>
      <vt:lpstr>Energy Charge 1</vt:lpstr>
      <vt:lpstr>Energy Charge 2</vt:lpstr>
      <vt:lpstr>Applicable Taxes</vt:lpstr>
      <vt:lpstr>Item 2,  Demand Chg. Calc.</vt:lpstr>
      <vt:lpstr>Item 3, Rate Base</vt:lpstr>
      <vt:lpstr>Item 4, Demand Rel. Exp.</vt:lpstr>
      <vt:lpstr>Item 5, VOM &amp; OSSM</vt:lpstr>
      <vt:lpstr>Item 6, Wghted Cost of Cap.</vt:lpstr>
      <vt:lpstr>Wrksht. A, Other Rate Base EKC</vt:lpstr>
      <vt:lpstr>Wrksht. B, Other Rate Base EKS</vt:lpstr>
      <vt:lpstr>Wrksht. C, Allocation Ratios</vt:lpstr>
      <vt:lpstr>Wrksht. D, Rev Cre, Divsr &amp; Eng</vt:lpstr>
      <vt:lpstr>Wrksht. E, Rev. Req. Shortfall</vt:lpstr>
      <vt:lpstr>Wrksht. F, CWIP Desc. EKC</vt:lpstr>
      <vt:lpstr>Wrsht. G, CWIP AFUDC Cre. EKC </vt:lpstr>
      <vt:lpstr>Wrksht. H, CWIP Desc. EKS</vt:lpstr>
      <vt:lpstr>Wrksht. I, CWIP AFUDC Cre. EKS</vt:lpstr>
      <vt:lpstr>Wrksht J, Refunds &amp; Surchar</vt:lpstr>
      <vt:lpstr>Wrksht. K, Dep. &amp; Accu. Dep $</vt:lpstr>
      <vt:lpstr>Wrksht. L, Wolf Creek Decom.</vt:lpstr>
      <vt:lpstr>Wrksht. M, VOM Revenue Credit</vt:lpstr>
      <vt:lpstr>Wrksht. N, Account 501</vt:lpstr>
      <vt:lpstr>Wrksht. O, Int. Plt. Amrt. EKC </vt:lpstr>
      <vt:lpstr>Wrksht. P, Int. Plt. Amrt. EKS</vt:lpstr>
      <vt:lpstr>Wrsht. Q, Domestic Mfg. Ded.</vt:lpstr>
      <vt:lpstr>Wrksht. R, Allocated ITC</vt:lpstr>
      <vt:lpstr>Wrksht. S Depreciation Rate</vt:lpstr>
      <vt:lpstr>Wrksht. T, PBOPs </vt:lpstr>
      <vt:lpstr>Wrksht. U, LTD Cost 1</vt:lpstr>
      <vt:lpstr>Wrksht U, LTD Cost 2</vt:lpstr>
      <vt:lpstr>Wrksht. U, YTM Bonds 1</vt:lpstr>
      <vt:lpstr>Wrksht. U YTM Bond 2</vt:lpstr>
      <vt:lpstr>Wrksht. V, OSSM Amount</vt:lpstr>
      <vt:lpstr>Wrksht. W, Dir. Assigned Trans.</vt:lpstr>
      <vt:lpstr>' Net Monthly Bill'!Print_Area</vt:lpstr>
      <vt:lpstr>'Applicable Taxes'!Print_Area</vt:lpstr>
      <vt:lpstr>'Energy Charge 1'!Print_Area</vt:lpstr>
      <vt:lpstr>'Energy Charge 2'!Print_Area</vt:lpstr>
      <vt:lpstr>'Item 2,  Demand Chg. Calc.'!Print_Area</vt:lpstr>
      <vt:lpstr>'Item 3, Rate Base'!Print_Area</vt:lpstr>
      <vt:lpstr>'Item 4, Demand Rel. Exp.'!Print_Area</vt:lpstr>
      <vt:lpstr>'Item 5, VOM &amp; OSSM'!Print_Area</vt:lpstr>
      <vt:lpstr>'Item 6, Wghted Cost of Cap.'!Print_Area</vt:lpstr>
      <vt:lpstr>'Table of Contents'!Print_Area</vt:lpstr>
      <vt:lpstr>'Wrksht J, Refunds &amp; Surchar'!Print_Area</vt:lpstr>
      <vt:lpstr>'Wrksht U, LTD Cost 2'!Print_Area</vt:lpstr>
      <vt:lpstr>'Wrksht. A, Other Rate Base EKC'!Print_Area</vt:lpstr>
      <vt:lpstr>'Wrksht. B, Other Rate Base EKS'!Print_Area</vt:lpstr>
      <vt:lpstr>'Wrksht. C, Allocation Ratios'!Print_Area</vt:lpstr>
      <vt:lpstr>'Wrksht. D, Rev Cre, Divsr &amp; Eng'!Print_Area</vt:lpstr>
      <vt:lpstr>'Wrksht. E, Rev. Req. Shortfall'!Print_Area</vt:lpstr>
      <vt:lpstr>'Wrksht. F, CWIP Desc. EKC'!Print_Area</vt:lpstr>
      <vt:lpstr>'Wrksht. H, CWIP Desc. EKS'!Print_Area</vt:lpstr>
      <vt:lpstr>'Wrksht. I, CWIP AFUDC Cre. EKS'!Print_Area</vt:lpstr>
      <vt:lpstr>'Wrksht. K, Dep. &amp; Accu. Dep $'!Print_Area</vt:lpstr>
      <vt:lpstr>'Wrksht. L, Wolf Creek Decom.'!Print_Area</vt:lpstr>
      <vt:lpstr>'Wrksht. M, VOM Revenue Credit'!Print_Area</vt:lpstr>
      <vt:lpstr>'Wrksht. O, Int. Plt. Amrt. EKC '!Print_Area</vt:lpstr>
      <vt:lpstr>'Wrksht. P, Int. Plt. Amrt. EKS'!Print_Area</vt:lpstr>
      <vt:lpstr>'Wrksht. R, Allocated ITC'!Print_Area</vt:lpstr>
      <vt:lpstr>'Wrksht. S Depreciation Rate'!Print_Area</vt:lpstr>
      <vt:lpstr>'Wrksht. T, PBOPs '!Print_Area</vt:lpstr>
      <vt:lpstr>'Wrksht. U, LTD Cost 1'!Print_Area</vt:lpstr>
      <vt:lpstr>'Wrksht. U, YTM Bonds 1'!Print_Area</vt:lpstr>
      <vt:lpstr>'Wrksht. V, OSSM Amount'!Print_Area</vt:lpstr>
      <vt:lpstr>'Wrksht. W, Dir. Assigned Trans.'!Print_Area</vt:lpstr>
      <vt:lpstr>'Wrsht. G, CWIP AFUDC Cre. EKC '!Print_Area</vt:lpstr>
      <vt:lpstr>'Wrsht. Q, Domestic Mfg. Ded.'!Print_Area</vt:lpstr>
      <vt:lpstr>'Form 1 Inputs'!Print_Titles</vt:lpstr>
      <vt:lpstr>'Form 1 Inputs (TransYear)'!Print_Titles</vt:lpstr>
      <vt:lpstr>'Wrksht. F, CWIP Desc. EKC'!Print_Titles</vt:lpstr>
      <vt:lpstr>'Wrksht. H, CWIP Desc. EKS'!Print_Titles</vt:lpstr>
      <vt:lpstr>'Wrksht. I, CWIP AFUDC Cre. EKS'!Print_Titles</vt:lpstr>
      <vt:lpstr>'Wrksht. K, Dep. &amp; Accu. Dep $'!Print_Titles</vt:lpstr>
      <vt:lpstr>'Wrksht. S Depreciation Rate'!Print_Titles</vt:lpstr>
      <vt:lpstr>'Wrksht. U, YTM Bonds 1'!Print_Titles</vt:lpstr>
      <vt:lpstr>'Wrsht. G, CWIP AFUDC Cre. EKC '!Print_Titles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K Barnes</dc:creator>
  <cp:lastModifiedBy>Faiz Ahmed</cp:lastModifiedBy>
  <cp:lastPrinted>2023-05-26T16:15:40Z</cp:lastPrinted>
  <dcterms:created xsi:type="dcterms:W3CDTF">2009-04-29T20:48:34Z</dcterms:created>
  <dcterms:modified xsi:type="dcterms:W3CDTF">2024-05-31T15:05:57Z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275ac46-98b9-4d64-949f-e82ee8dc823c_Enabled">
    <vt:lpwstr>true</vt:lpwstr>
  </property>
  <property fmtid="{D5CDD505-2E9C-101B-9397-08002B2CF9AE}" pid="3" name="MSIP_Label_d275ac46-98b9-4d64-949f-e82ee8dc823c_SetDate">
    <vt:lpwstr>2022-05-31T18:27:38Z</vt:lpwstr>
  </property>
  <property fmtid="{D5CDD505-2E9C-101B-9397-08002B2CF9AE}" pid="4" name="MSIP_Label_d275ac46-98b9-4d64-949f-e82ee8dc823c_Method">
    <vt:lpwstr>Standard</vt:lpwstr>
  </property>
  <property fmtid="{D5CDD505-2E9C-101B-9397-08002B2CF9AE}" pid="5" name="MSIP_Label_d275ac46-98b9-4d64-949f-e82ee8dc823c_Name">
    <vt:lpwstr>d275ac46-98b9-4d64-949f-e82ee8dc823c</vt:lpwstr>
  </property>
  <property fmtid="{D5CDD505-2E9C-101B-9397-08002B2CF9AE}" pid="6" name="MSIP_Label_d275ac46-98b9-4d64-949f-e82ee8dc823c_SiteId">
    <vt:lpwstr>9ef58ab0-3510-4d99-8d3e-3c9e02ebab7f</vt:lpwstr>
  </property>
  <property fmtid="{D5CDD505-2E9C-101B-9397-08002B2CF9AE}" pid="7" name="MSIP_Label_d275ac46-98b9-4d64-949f-e82ee8dc823c_ActionId">
    <vt:lpwstr>6a9ab04c-b514-46ab-8030-68af7ba2cc6e</vt:lpwstr>
  </property>
  <property fmtid="{D5CDD505-2E9C-101B-9397-08002B2CF9AE}" pid="8" name="MSIP_Label_d275ac46-98b9-4d64-949f-e82ee8dc823c_ContentBits">
    <vt:lpwstr>3</vt:lpwstr>
  </property>
  <property fmtid="{D5CDD505-2E9C-101B-9397-08002B2CF9AE}" pid="9" name="SV_QUERY_LIST_4F35BF76-6C0D-4D9B-82B2-816C12CF3733">
    <vt:lpwstr>empty_477D106A-C0D6-4607-AEBD-E2C9D60EA279</vt:lpwstr>
  </property>
  <property fmtid="{D5CDD505-2E9C-101B-9397-08002B2CF9AE}" pid="10" name="SV_HIDDEN_GRID_QUERY_LIST_4F35BF76-6C0D-4D9B-82B2-816C12CF3733">
    <vt:lpwstr>empty_477D106A-C0D6-4607-AEBD-E2C9D60EA279</vt:lpwstr>
  </property>
</Properties>
</file>